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GLOG\CTER(mão de obra)\Contratos Vigentes\2022 - 27 - Vippim (Vigilância)\Repactuação MRE 2024\MRE\"/>
    </mc:Choice>
  </mc:AlternateContent>
  <bookViews>
    <workbookView xWindow="-120" yWindow="-120" windowWidth="20730" windowHeight="11160" tabRatio="747" firstSheet="2" activeTab="2"/>
  </bookViews>
  <sheets>
    <sheet name="Proposta Cadastro" sheetId="77" state="hidden" r:id="rId1"/>
    <sheet name="Resumo - Intra" sheetId="81" state="hidden" r:id="rId2"/>
    <sheet name="Resumo - MÉDIA" sheetId="34" r:id="rId3"/>
    <sheet name="ES Memória de Cálculo" sheetId="80" state="hidden" r:id="rId4"/>
    <sheet name="supervisor" sheetId="72" r:id="rId5"/>
    <sheet name=" 44h de 2º a 6 feira" sheetId="68" r:id="rId6"/>
    <sheet name="Desarmada - Diurna 12 x36 hs" sheetId="18" r:id="rId7"/>
    <sheet name="Supervisor - Diurna 12 x36h" sheetId="73" r:id="rId8"/>
    <sheet name=" Desarmada - Noturna 12 x36" sheetId="69" r:id="rId9"/>
    <sheet name=" Supervisor - Noturna 12 x36h" sheetId="74" r:id="rId10"/>
    <sheet name="Intra - Armada-Diurna 12 x36" sheetId="82" r:id="rId11"/>
    <sheet name="Armada - Diurna 12 x36 hs" sheetId="64" r:id="rId12"/>
    <sheet name="Intra - Armada-Noturna 12x36" sheetId="83" r:id="rId13"/>
    <sheet name=" Armada - Noturna 12 x36 hs" sheetId="71" r:id="rId14"/>
    <sheet name="Equipamentos" sheetId="67" r:id="rId15"/>
    <sheet name="Uniformes" sheetId="66" r:id="rId16"/>
  </sheets>
  <externalReferences>
    <externalReference r:id="rId17"/>
    <externalReference r:id="rId18"/>
    <externalReference r:id="rId19"/>
    <externalReference r:id="rId20"/>
    <externalReference r:id="rId21"/>
  </externalReferences>
  <definedNames>
    <definedName name="_1Sem_nome" localSheetId="3">#REF!</definedName>
    <definedName name="_1Sem_nome" localSheetId="10">#REF!</definedName>
    <definedName name="_1Sem_nome" localSheetId="12">#REF!</definedName>
    <definedName name="_1Sem_nome" localSheetId="0">#REF!</definedName>
    <definedName name="_1Sem_nome" localSheetId="1">#REF!</definedName>
    <definedName name="_1Sem_nome">#REF!</definedName>
    <definedName name="_P1" localSheetId="3">#REF!</definedName>
    <definedName name="_P1" localSheetId="10">#REF!</definedName>
    <definedName name="_P1" localSheetId="12">#REF!</definedName>
    <definedName name="_P1" localSheetId="0">#REF!</definedName>
    <definedName name="_P1" localSheetId="1">#REF!</definedName>
    <definedName name="_P1">#REF!</definedName>
    <definedName name="_P2" localSheetId="3">#REF!</definedName>
    <definedName name="_P2" localSheetId="10">#REF!</definedName>
    <definedName name="_P2" localSheetId="12">#REF!</definedName>
    <definedName name="_P2" localSheetId="0">#REF!</definedName>
    <definedName name="_P2" localSheetId="1">#REF!</definedName>
    <definedName name="_P2">#REF!</definedName>
    <definedName name="_p3" localSheetId="3">#REF!</definedName>
    <definedName name="_p3" localSheetId="10">#REF!</definedName>
    <definedName name="_p3" localSheetId="12">#REF!</definedName>
    <definedName name="_p3" localSheetId="0">#REF!</definedName>
    <definedName name="_p3" localSheetId="1">#REF!</definedName>
    <definedName name="_p3">#REF!</definedName>
    <definedName name="ACORDO_COLETIVO">'[1]INSERÇÃO-DE-DADOS'!$F$14</definedName>
    <definedName name="AL_1_A_SAL_BASE_12X36_DIU">'[1]POSTO SUP 12x36 HORAS - DIURNO'!$F$24</definedName>
    <definedName name="AL_1_A_SAL_BASE_12X36_NOT">'[1]POSTO 12x36 HORAS - NOTURNO'!$F$22</definedName>
    <definedName name="AL_1_A_SAL_BASE_44H" localSheetId="10">#REF!</definedName>
    <definedName name="AL_1_A_SAL_BASE_44H" localSheetId="12">#REF!</definedName>
    <definedName name="AL_1_A_SAL_BASE_44H" localSheetId="0">#REF!</definedName>
    <definedName name="AL_1_A_SAL_BASE_44H" localSheetId="1">#REF!</definedName>
    <definedName name="AL_1_A_SAL_BASE_44H">#REF!</definedName>
    <definedName name="AL_1_B_ADIC_PERIC_12X36_NOT">'[1]POSTO 12x36 HORAS - NOTURNO'!$F$23</definedName>
    <definedName name="AL_1_B_ADIC_PERIC_44H" localSheetId="10">#REF!</definedName>
    <definedName name="AL_1_B_ADIC_PERIC_44H" localSheetId="12">#REF!</definedName>
    <definedName name="AL_1_B_ADIC_PERIC_44H" localSheetId="0">#REF!</definedName>
    <definedName name="AL_1_B_ADIC_PERIC_44H" localSheetId="1">#REF!</definedName>
    <definedName name="AL_1_B_ADIC_PERIC_44H">#REF!</definedName>
    <definedName name="AL_1_E_OUTROS_REM_12X36_NOT" localSheetId="10">'[1]POSTO 12x36 HORAS - NOTURNO'!#REF!</definedName>
    <definedName name="AL_1_E_OUTROS_REM_12X36_NOT" localSheetId="12">'[1]POSTO 12x36 HORAS - NOTURNO'!#REF!</definedName>
    <definedName name="AL_1_E_OUTROS_REM_12X36_NOT" localSheetId="0">'[1]POSTO 12x36 HORAS - NOTURNO'!#REF!</definedName>
    <definedName name="AL_1_E_OUTROS_REM_12X36_NOT" localSheetId="1">'[1]POSTO 12x36 HORAS - NOTURNO'!#REF!</definedName>
    <definedName name="AL_1_E_OUTROS_REM_12X36_NOT">'[1]POSTO 12x36 HORAS - NOTURNO'!#REF!</definedName>
    <definedName name="AL_2_2_FGTS_12X36_DIU">'[1]POSTO SUP 12x36 HORAS - DIURNO'!$F$45</definedName>
    <definedName name="AL_2_2_FGTS_12X36_NOT">'[1]POSTO 12x36 HORAS - NOTURNO'!$F$45</definedName>
    <definedName name="AL_2_2_FGTS_44H" localSheetId="10">#REF!</definedName>
    <definedName name="AL_2_2_FGTS_44H" localSheetId="12">#REF!</definedName>
    <definedName name="AL_2_2_FGTS_44H" localSheetId="0">#REF!</definedName>
    <definedName name="AL_2_2_FGTS_44H" localSheetId="1">#REF!</definedName>
    <definedName name="AL_2_2_FGTS_44H">#REF!</definedName>
    <definedName name="AL_2_3_A_TRANSP_44H" localSheetId="10">#REF!</definedName>
    <definedName name="AL_2_3_A_TRANSP_44H" localSheetId="12">#REF!</definedName>
    <definedName name="AL_2_3_A_TRANSP_44H" localSheetId="0">#REF!</definedName>
    <definedName name="AL_2_3_A_TRANSP_44H" localSheetId="1">#REF!</definedName>
    <definedName name="AL_2_3_A_TRANSP_44H">#REF!</definedName>
    <definedName name="AL_2_3_B_AUX_ALIMENT_44H" localSheetId="10">#REF!</definedName>
    <definedName name="AL_2_3_B_AUX_ALIMENT_44H" localSheetId="12">#REF!</definedName>
    <definedName name="AL_2_3_B_AUX_ALIMENT_44H" localSheetId="0">#REF!</definedName>
    <definedName name="AL_2_3_B_AUX_ALIMENT_44H" localSheetId="1">#REF!</definedName>
    <definedName name="AL_2_3_B_AUX_ALIMENT_44H">#REF!</definedName>
    <definedName name="AL_2_3_C_OUTROS_BENEF_12X36_NOT" localSheetId="10">'[1]POSTO 12x36 HORAS - NOTURNO'!#REF!</definedName>
    <definedName name="AL_2_3_C_OUTROS_BENEF_12X36_NOT" localSheetId="12">'[1]POSTO 12x36 HORAS - NOTURNO'!#REF!</definedName>
    <definedName name="AL_2_3_C_OUTROS_BENEF_12X36_NOT" localSheetId="0">'[1]POSTO 12x36 HORAS - NOTURNO'!#REF!</definedName>
    <definedName name="AL_2_3_C_OUTROS_BENEF_12X36_NOT" localSheetId="1">'[1]POSTO 12x36 HORAS - NOTURNO'!#REF!</definedName>
    <definedName name="AL_2_3_C_OUTROS_BENEF_12X36_NOT">'[1]POSTO 12x36 HORAS - NOTURNO'!#REF!</definedName>
    <definedName name="AL_6_A_CUSTOS_INDIRETOS_12X36_DIU">'[1]POSTO SUP 12x36 HORAS - DIURNO'!$F$87</definedName>
    <definedName name="AL_6_A_CUSTOS_INDIRETOS_12X36_NOT">'[1]POSTO 12x36 HORAS - NOTURNO'!$F$87</definedName>
    <definedName name="AL_6_A_CUSTOS_INDIRETOS_44H" localSheetId="10">#REF!</definedName>
    <definedName name="AL_6_A_CUSTOS_INDIRETOS_44H" localSheetId="12">#REF!</definedName>
    <definedName name="AL_6_A_CUSTOS_INDIRETOS_44H" localSheetId="0">#REF!</definedName>
    <definedName name="AL_6_A_CUSTOS_INDIRETOS_44H" localSheetId="1">#REF!</definedName>
    <definedName name="AL_6_A_CUSTOS_INDIRETOS_44H">#REF!</definedName>
    <definedName name="AL_6_B_LUCRO_12X36_DIU">'[1]POSTO SUP 12x36 HORAS - DIURNO'!$F$88</definedName>
    <definedName name="AL_6_B_LUCRO_12X36_NOT">'[1]POSTO 12x36 HORAS - NOTURNO'!$F$88</definedName>
    <definedName name="AL_6_B_LUCRO_44H" localSheetId="10">#REF!</definedName>
    <definedName name="AL_6_B_LUCRO_44H" localSheetId="12">#REF!</definedName>
    <definedName name="AL_6_B_LUCRO_44H" localSheetId="0">#REF!</definedName>
    <definedName name="AL_6_B_LUCRO_44H" localSheetId="1">#REF!</definedName>
    <definedName name="AL_6_B_LUCRO_44H">#REF!</definedName>
    <definedName name="AL_6_C_1_PIS_44H" localSheetId="10">#REF!</definedName>
    <definedName name="AL_6_C_1_PIS_44H" localSheetId="12">#REF!</definedName>
    <definedName name="AL_6_C_1_PIS_44H" localSheetId="0">#REF!</definedName>
    <definedName name="AL_6_C_1_PIS_44H" localSheetId="1">#REF!</definedName>
    <definedName name="AL_6_C_1_PIS_44H">#REF!</definedName>
    <definedName name="AL_6_C_2_COFINS_44H" localSheetId="10">#REF!</definedName>
    <definedName name="AL_6_C_2_COFINS_44H" localSheetId="12">#REF!</definedName>
    <definedName name="AL_6_C_2_COFINS_44H" localSheetId="0">#REF!</definedName>
    <definedName name="AL_6_C_2_COFINS_44H" localSheetId="1">#REF!</definedName>
    <definedName name="AL_6_C_2_COFINS_44H">#REF!</definedName>
    <definedName name="AL_6_C_3_ISS_44H" localSheetId="10">#REF!</definedName>
    <definedName name="AL_6_C_3_ISS_44H" localSheetId="12">#REF!</definedName>
    <definedName name="AL_6_C_3_ISS_44H" localSheetId="0">#REF!</definedName>
    <definedName name="AL_6_C_3_ISS_44H" localSheetId="1">#REF!</definedName>
    <definedName name="AL_6_C_3_ISS_44H">#REF!</definedName>
    <definedName name="AL_6_C_TRIBUTOS_12X36_DIU">'[1]POSTO SUP 12x36 HORAS - DIURNO'!$F$89</definedName>
    <definedName name="AL_6_C_TRIBUTOS_12X36_NOT">'[1]POSTO 12x36 HORAS - NOTURNO'!$F$89</definedName>
    <definedName name="AL_6_C_TRIBUTOS_44H" localSheetId="10">#REF!</definedName>
    <definedName name="AL_6_C_TRIBUTOS_44H" localSheetId="12">#REF!</definedName>
    <definedName name="AL_6_C_TRIBUTOS_44H" localSheetId="0">#REF!</definedName>
    <definedName name="AL_6_C_TRIBUTOS_44H" localSheetId="1">#REF!</definedName>
    <definedName name="AL_6_C_TRIBUTOS_44H">#REF!</definedName>
    <definedName name="ALIMENTACAO_POR_DIA">'[1]INSERÇÃO-DE-DADOS'!$F$43</definedName>
    <definedName name="_xlnm.Print_Area" localSheetId="5">' 44h de 2º a 6 feira'!$A$1:$I$86</definedName>
    <definedName name="_xlnm.Print_Area" localSheetId="13">' Armada - Noturna 12 x36 hs'!$A$1:$I$88</definedName>
    <definedName name="_xlnm.Print_Area" localSheetId="8">' Desarmada - Noturna 12 x36'!$A$1:$I$89</definedName>
    <definedName name="_xlnm.Print_Area" localSheetId="9">' Supervisor - Noturna 12 x36h'!$A$1:$I$89</definedName>
    <definedName name="_xlnm.Print_Area" localSheetId="11">'Armada - Diurna 12 x36 hs'!$A$1:$I$86</definedName>
    <definedName name="_xlnm.Print_Area" localSheetId="6">'Desarmada - Diurna 12 x36 hs'!$A$1:$J$87</definedName>
    <definedName name="_xlnm.Print_Area" localSheetId="10">'Intra - Armada-Diurna 12 x36'!$A$1:$I$86</definedName>
    <definedName name="_xlnm.Print_Area" localSheetId="12">'Intra - Armada-Noturna 12x36'!$A$1:$I$88</definedName>
    <definedName name="_xlnm.Print_Area" localSheetId="0">'Proposta Cadastro'!$A$1:$K$59</definedName>
    <definedName name="_xlnm.Print_Area" localSheetId="4">supervisor!$A$1:$I$86</definedName>
    <definedName name="_xlnm.Print_Area" localSheetId="7">'Supervisor - Diurna 12 x36h'!$A$1:$J$87</definedName>
    <definedName name="BuiltIn_Print_Area" localSheetId="3">#REF!</definedName>
    <definedName name="BuiltIn_Print_Area" localSheetId="10">#REF!</definedName>
    <definedName name="BuiltIn_Print_Area" localSheetId="12">#REF!</definedName>
    <definedName name="BuiltIn_Print_Area" localSheetId="0">#REF!</definedName>
    <definedName name="BuiltIn_Print_Area" localSheetId="1">#REF!</definedName>
    <definedName name="BuiltIn_Print_Area">#REF!</definedName>
    <definedName name="BuiltIn_Print_Area___0" localSheetId="3">#REF!</definedName>
    <definedName name="BuiltIn_Print_Area___0" localSheetId="10">#REF!</definedName>
    <definedName name="BuiltIn_Print_Area___0" localSheetId="12">#REF!</definedName>
    <definedName name="BuiltIn_Print_Area___0" localSheetId="0">#REF!</definedName>
    <definedName name="BuiltIn_Print_Area___0" localSheetId="1">#REF!</definedName>
    <definedName name="BuiltIn_Print_Area___0">#REF!</definedName>
    <definedName name="CATEGORIA_PROFISSIONAL">'[1]INSERÇÃO-DE-DADOS'!$D$26</definedName>
    <definedName name="CBO">'[1]INSERÇÃO-DE-DADOS'!$D$25</definedName>
    <definedName name="CHEFE" localSheetId="3">#REF!</definedName>
    <definedName name="CHEFE" localSheetId="10">#REF!</definedName>
    <definedName name="CHEFE" localSheetId="12">#REF!</definedName>
    <definedName name="CHEFE" localSheetId="0">#REF!</definedName>
    <definedName name="CHEFE" localSheetId="1">#REF!</definedName>
    <definedName name="CHEFE">#REF!</definedName>
    <definedName name="DATA_APRESENTACAO_PROPOSTA">'[1]INSERÇÃO-DE-DADOS'!$F$11</definedName>
    <definedName name="DATA_BASE_CATEGORIA">'[1]INSERÇÃO-DE-DADOS'!$F$27</definedName>
    <definedName name="DATA_DO_ORCAMENTO_ESTIMATIVO">'[1]INSERÇÃO-DE-DADOS'!$F$2</definedName>
    <definedName name="DIAS_AUSENCIAS_LEGAIS">'[1]DADOS-ESTATISTICOS'!$F$29</definedName>
    <definedName name="DIAS_LICENCA_MATERNIDADE">'[1]DADOS-ESTATISTICOS'!$F$35</definedName>
    <definedName name="DIAS_LICENCA_PATERNIDADE">'[1]DADOS-ESTATISTICOS'!$F$30</definedName>
    <definedName name="DIAS_NA_SEMANA">'[1]DADOS-ESTATISTICOS'!$F$5</definedName>
    <definedName name="DIAS_NO_MES">'[1]DADOS-ESTATISTICOS'!$F$24</definedName>
    <definedName name="DIAS_PAGOS_EMPRESA_ACID_TRAB">'[1]DADOS-ESTATISTICOS'!$F$34</definedName>
    <definedName name="DIAS_TRABALHADOS_NO_MES_12X36">'[1]DADOS-ESTATISTICOS'!$F$15</definedName>
    <definedName name="DIVISOR_DE_HORAS">'[1]DADOS-ESTATISTICOS'!$F$4</definedName>
    <definedName name="EMPREG_POR_POSTO_12X36_DIU">'[1]POSTO SUP 12x36 HORAS - DIURNO'!$F$21</definedName>
    <definedName name="EMPREG_POR_POSTO_12X36_NOT">'[1]POSTO 12x36 HORAS - NOTURNO'!$F$19</definedName>
    <definedName name="EMPREG_POR_POSTO_44H" localSheetId="10">#REF!</definedName>
    <definedName name="EMPREG_POR_POSTO_44H" localSheetId="12">#REF!</definedName>
    <definedName name="EMPREG_POR_POSTO_44H" localSheetId="0">#REF!</definedName>
    <definedName name="EMPREG_POR_POSTO_44H" localSheetId="1">#REF!</definedName>
    <definedName name="EMPREG_POR_POSTO_44H">#REF!</definedName>
    <definedName name="EQUIPAMENTOS">'[1]INSERÇÃO-DE-DADOS'!$F$62</definedName>
    <definedName name="Excel_BuiltIn_Print_Area_1" localSheetId="3">#REF!</definedName>
    <definedName name="Excel_BuiltIn_Print_Area_1" localSheetId="10">#REF!</definedName>
    <definedName name="Excel_BuiltIn_Print_Area_1" localSheetId="12">#REF!</definedName>
    <definedName name="Excel_BuiltIn_Print_Area_1" localSheetId="0">#REF!</definedName>
    <definedName name="Excel_BuiltIn_Print_Area_1" localSheetId="1">#REF!</definedName>
    <definedName name="Excel_BuiltIn_Print_Area_1">#REF!</definedName>
    <definedName name="Excel_BuiltIn_Print_Area_2" localSheetId="3">#REF!</definedName>
    <definedName name="Excel_BuiltIn_Print_Area_2" localSheetId="10">#REF!</definedName>
    <definedName name="Excel_BuiltIn_Print_Area_2" localSheetId="12">#REF!</definedName>
    <definedName name="Excel_BuiltIn_Print_Area_2" localSheetId="0">#REF!</definedName>
    <definedName name="Excel_BuiltIn_Print_Area_2" localSheetId="1">#REF!</definedName>
    <definedName name="Excel_BuiltIn_Print_Area_2">#REF!</definedName>
    <definedName name="HORA_NORMAL">'[1]DADOS-ESTATISTICOS'!$F$9</definedName>
    <definedName name="HORA_NOTURNA">'[1]DADOS-ESTATISTICOS'!$F$10</definedName>
    <definedName name="INFORMAÇÕES">'[2]BASE I'!$B$16:$AB$36</definedName>
    <definedName name="LOCAL_DE_EXECUCAO">'[1]INSERÇÃO-DE-DADOS'!$D$12</definedName>
    <definedName name="luciene" localSheetId="3">#REF!</definedName>
    <definedName name="luciene" localSheetId="10">#REF!</definedName>
    <definedName name="luciene" localSheetId="12">#REF!</definedName>
    <definedName name="luciene" localSheetId="0">#REF!</definedName>
    <definedName name="luciene" localSheetId="1">#REF!</definedName>
    <definedName name="luciene">#REF!</definedName>
    <definedName name="MATERIAIS">'[1]INSERÇÃO-DE-DADOS'!$F$61</definedName>
    <definedName name="Matriz">'[2]BASE I'!$B$16:$AB$52</definedName>
    <definedName name="MEDIA_ANUAL_DIAS_TRABALHO_MES">'[1]DADOS-ESTATISTICOS'!$F$7</definedName>
    <definedName name="MESES_NO_ANO">'[1]DADOS-ESTATISTICOS'!$F$8</definedName>
    <definedName name="MOD_1_REMUNERACAO_12X36_DIU">'[1]POSTO SUP 12x36 HORAS - DIURNO'!$F$29</definedName>
    <definedName name="MOD_1_REMUNERACAO_12X36_NOT">'[1]POSTO 12x36 HORAS - NOTURNO'!$F$29</definedName>
    <definedName name="MOD_1_REMUNERACAO_44H" localSheetId="10">#REF!</definedName>
    <definedName name="MOD_1_REMUNERACAO_44H" localSheetId="12">#REF!</definedName>
    <definedName name="MOD_1_REMUNERACAO_44H" localSheetId="0">#REF!</definedName>
    <definedName name="MOD_1_REMUNERACAO_44H" localSheetId="1">#REF!</definedName>
    <definedName name="MOD_1_REMUNERACAO_44H">#REF!</definedName>
    <definedName name="MOD_2_ENCARGOS_BENEFICIOS_12X36_DIU">'[1]POSTO SUP 12x36 HORAS - DIURNO'!$F$35+'[1]POSTO SUP 12x36 HORAS - DIURNO'!$F$46+'[1]POSTO SUP 12x36 HORAS - DIURNO'!$F$54</definedName>
    <definedName name="MOD_2_ENCARGOS_BENEFICIOS_12X36_NOT">'[1]POSTO 12x36 HORAS - NOTURNO'!$F$35+'[1]POSTO 12x36 HORAS - NOTURNO'!$F$46+'[1]POSTO 12x36 HORAS - NOTURNO'!$F$54</definedName>
    <definedName name="MOD_2_ENCARGOS_BENEFICIOS_44H" localSheetId="10">#REF!+#REF!+#REF!</definedName>
    <definedName name="MOD_2_ENCARGOS_BENEFICIOS_44H" localSheetId="12">#REF!+#REF!+#REF!</definedName>
    <definedName name="MOD_2_ENCARGOS_BENEFICIOS_44H" localSheetId="0">#REF!+#REF!+#REF!</definedName>
    <definedName name="MOD_2_ENCARGOS_BENEFICIOS_44H" localSheetId="1">#REF!+#REF!+#REF!</definedName>
    <definedName name="MOD_2_ENCARGOS_BENEFICIOS_44H">#REF!+#REF!+#REF!</definedName>
    <definedName name="MOD_3_PROVISAO_RESCISAO_12X36_DIU">'[1]POSTO SUP 12x36 HORAS - DIURNO'!$F$60</definedName>
    <definedName name="MOD_3_PROVISAO_RESCISAO_12X36_NOT">'[1]POSTO 12x36 HORAS - NOTURNO'!$F$60</definedName>
    <definedName name="MOD_3_PROVISAO_RESCISAO_44H" localSheetId="10">#REF!</definedName>
    <definedName name="MOD_3_PROVISAO_RESCISAO_44H" localSheetId="12">#REF!</definedName>
    <definedName name="MOD_3_PROVISAO_RESCISAO_44H" localSheetId="0">#REF!</definedName>
    <definedName name="MOD_3_PROVISAO_RESCISAO_44H" localSheetId="1">#REF!</definedName>
    <definedName name="MOD_3_PROVISAO_RESCISAO_44H">#REF!</definedName>
    <definedName name="MOD_4_CUSTO_REPOSICAO_12X36_DIU">'[1]POSTO SUP 12x36 HORAS - DIURNO'!$F$71+'[1]POSTO SUP 12x36 HORAS - DIURNO'!$F$75</definedName>
    <definedName name="MOD_4_CUSTO_REPOSICAO_12X36_NOT">'[1]POSTO 12x36 HORAS - NOTURNO'!$F$71+'[1]POSTO 12x36 HORAS - NOTURNO'!$F$75</definedName>
    <definedName name="MOD_4_CUSTO_REPOSICAO_44H" localSheetId="10">#REF!+#REF!</definedName>
    <definedName name="MOD_4_CUSTO_REPOSICAO_44H" localSheetId="12">#REF!+#REF!</definedName>
    <definedName name="MOD_4_CUSTO_REPOSICAO_44H" localSheetId="0">#REF!+#REF!</definedName>
    <definedName name="MOD_4_CUSTO_REPOSICAO_44H" localSheetId="1">#REF!+#REF!</definedName>
    <definedName name="MOD_4_CUSTO_REPOSICAO_44H">#REF!+#REF!</definedName>
    <definedName name="MOD_5_INSUMOS_12X36_DIU">'[1]POSTO SUP 12x36 HORAS - DIURNO'!$F$83</definedName>
    <definedName name="MOD_5_INSUMOS_12X36_NOT">'[1]POSTO 12x36 HORAS - NOTURNO'!$F$83</definedName>
    <definedName name="MOD_5_INSUMOS_44H" localSheetId="10">#REF!</definedName>
    <definedName name="MOD_5_INSUMOS_44H" localSheetId="12">#REF!</definedName>
    <definedName name="MOD_5_INSUMOS_44H" localSheetId="0">#REF!</definedName>
    <definedName name="MOD_5_INSUMOS_44H" localSheetId="1">#REF!</definedName>
    <definedName name="MOD_5_INSUMOS_44H">#REF!</definedName>
    <definedName name="MOD_6_CUSTOS_IND_LUCRO_TRIB_12X36_DIU">'[1]POSTO SUP 12x36 HORAS - DIURNO'!$F$93</definedName>
    <definedName name="MOD_6_CUSTOS_IND_LUCRO_TRIB_12X36_NOT">'[1]POSTO 12x36 HORAS - NOTURNO'!$F$93</definedName>
    <definedName name="MOD_6_CUSTOS_IND_LUCRO_TRIB_44H" localSheetId="10">#REF!</definedName>
    <definedName name="MOD_6_CUSTOS_IND_LUCRO_TRIB_44H" localSheetId="12">#REF!</definedName>
    <definedName name="MOD_6_CUSTOS_IND_LUCRO_TRIB_44H" localSheetId="0">#REF!</definedName>
    <definedName name="MOD_6_CUSTOS_IND_LUCRO_TRIB_44H" localSheetId="1">#REF!</definedName>
    <definedName name="MOD_6_CUSTOS_IND_LUCRO_TRIB_44H">#REF!</definedName>
    <definedName name="MODALIDADE_DE_LICITACAO">'[1]INSERÇÃO-DE-DADOS'!$D$7</definedName>
    <definedName name="NUMERO_MESES_EXEC_CONTRATUAL">'[1]INSERÇÃO-DE-DADOS'!$F$15</definedName>
    <definedName name="NUMERO_PREGAO">'[1]INSERÇÃO-DE-DADOS'!$F$7</definedName>
    <definedName name="NUMERO_PROCESSO">'[1]INSERÇÃO-DE-DADOS'!$D$6</definedName>
    <definedName name="OUTRAS_AUSENCIAS_DESCRICAO">'[1]INSERÇÃO-DE-DADOS'!$C$51</definedName>
    <definedName name="OUTROS_BENEFICIOS_1">'[1]INSERÇÃO-DE-DADOS'!$F$44</definedName>
    <definedName name="OUTROS_BENEFICIOS_1_DESCRICAO">'[1]INSERÇÃO-DE-DADOS'!$C$44</definedName>
    <definedName name="OUTROS_BENEFICIOS_2">'[1]INSERÇÃO-DE-DADOS'!$F$45</definedName>
    <definedName name="OUTROS_BENEFICIOS_2_DESCRICAO">'[1]INSERÇÃO-DE-DADOS'!$C$45</definedName>
    <definedName name="OUTROS_BENEFICIOS_3">'[1]INSERÇÃO-DE-DADOS'!$F$46</definedName>
    <definedName name="OUTROS_BENEFICIOS_3_DESCRICAO">'[1]INSERÇÃO-DE-DADOS'!$C$46</definedName>
    <definedName name="OUTROS_INSUMOS">'[1]INSERÇÃO-DE-DADOS'!$F$63</definedName>
    <definedName name="OUTROS_INSUMOS_DESCRICAO">'[1]INSERÇÃO-DE-DADOS'!$C$63</definedName>
    <definedName name="OUTROS_REMUNERACAO_1">'[1]INSERÇÃO-DE-DADOS'!$F$36</definedName>
    <definedName name="OUTROS_REMUNERACAO_1_DESCRICAO">'[1]INSERÇÃO-DE-DADOS'!$C$36:$E$36</definedName>
    <definedName name="OUTROS_REMUNERACAO_2">'[1]INSERÇÃO-DE-DADOS'!$F$37</definedName>
    <definedName name="OUTROS_REMUNERACAO_2_DESCRICAO">'[1]INSERÇÃO-DE-DADOS'!$C$37:$E$37</definedName>
    <definedName name="OUTROS_REMUNERACAO_3">'[1]INSERÇÃO-DE-DADOS'!$F$38</definedName>
    <definedName name="OUTROS_REMUNERACAO_3_DESCRICAO">'[1]INSERÇÃO-DE-DADOS'!$C$38:$E$38</definedName>
    <definedName name="PERC_ADIC_FERIAS">'[1]ENCARGOS-SOCIAIS-E-TRABALHISTAS'!$E$6</definedName>
    <definedName name="PERC_ADIC_NOT">'[1]INSERÇÃO-DE-DADOS'!$F$35</definedName>
    <definedName name="PERC_ADIC_PERIC">'[1]INSERÇÃO-DE-DADOS'!$F$34</definedName>
    <definedName name="PERC_AVISO_PREVIO_IND">'[1]ENCARGOS-SOCIAIS-E-TRABALHISTAS'!$E$20</definedName>
    <definedName name="PERC_AVISO_PREVIO_TRAB">'[1]ENCARGOS-SOCIAIS-E-TRABALHISTAS'!$E$21</definedName>
    <definedName name="PERC_COFINS">'[1]INSERÇÃO-DE-DADOS'!$F$70</definedName>
    <definedName name="PERC_CONTRIB_SOCIAL" localSheetId="10">'[1]DADOS-ESTATISTICOS'!#REF!</definedName>
    <definedName name="PERC_CONTRIB_SOCIAL" localSheetId="12">'[1]DADOS-ESTATISTICOS'!#REF!</definedName>
    <definedName name="PERC_CONTRIB_SOCIAL" localSheetId="0">'[1]DADOS-ESTATISTICOS'!#REF!</definedName>
    <definedName name="PERC_CONTRIB_SOCIAL" localSheetId="1">'[1]DADOS-ESTATISTICOS'!#REF!</definedName>
    <definedName name="PERC_CONTRIB_SOCIAL">'[1]DADOS-ESTATISTICOS'!#REF!</definedName>
    <definedName name="PERC_CUSTOS_INDIRETOS">'[1]INSERÇÃO-DE-DADOS'!$F$67</definedName>
    <definedName name="PERC_DEC_TERC">'[1]ENCARGOS-SOCIAIS-E-TRABALHISTAS'!$E$5</definedName>
    <definedName name="PERC_DESC_TRANSP_REMUNERACAO">'[1]DADOS-ESTATISTICOS'!$F$14</definedName>
    <definedName name="PERC_EMPREG_AFAST_TRAB">'[1]DADOS-ESTATISTICOS'!$F$33</definedName>
    <definedName name="PERC_EMPREG_AVISO_PREVIO_IND">'[1]DADOS-ESTATISTICOS'!$F$21</definedName>
    <definedName name="PERC_EMPREG_AVISO_PREVIO_TRAB">'[1]DADOS-ESTATISTICOS'!$F$23</definedName>
    <definedName name="PERC_EMPREG_DEMIT_SEM_JUSTA_CAUSA_TOTAL_DESLIG">'[1]DADOS-ESTATISTICOS'!$F$20</definedName>
    <definedName name="PERC_FGTS">'[1]ENCARGOS-SOCIAIS-E-TRABALHISTAS'!$E$16</definedName>
    <definedName name="PERC_FGTS_AVISO_PREV_IND" localSheetId="10">'[1]ENCARGOS-SOCIAIS-E-TRABALHISTAS'!#REF!</definedName>
    <definedName name="PERC_FGTS_AVISO_PREV_IND" localSheetId="12">'[1]ENCARGOS-SOCIAIS-E-TRABALHISTAS'!#REF!</definedName>
    <definedName name="PERC_FGTS_AVISO_PREV_IND" localSheetId="0">'[1]ENCARGOS-SOCIAIS-E-TRABALHISTAS'!#REF!</definedName>
    <definedName name="PERC_FGTS_AVISO_PREV_IND" localSheetId="1">'[1]ENCARGOS-SOCIAIS-E-TRABALHISTAS'!#REF!</definedName>
    <definedName name="PERC_FGTS_AVISO_PREV_IND">'[1]ENCARGOS-SOCIAIS-E-TRABALHISTAS'!#REF!</definedName>
    <definedName name="PERC_GPS_FGTS">'[1]ENCARGOS-SOCIAIS-E-TRABALHISTAS'!$E$17</definedName>
    <definedName name="PERC_GPS_FGTS_AVISO_PREVIO_TRAB" localSheetId="10">'[1]ENCARGOS-SOCIAIS-E-TRABALHISTAS'!#REF!</definedName>
    <definedName name="PERC_GPS_FGTS_AVISO_PREVIO_TRAB" localSheetId="12">'[1]ENCARGOS-SOCIAIS-E-TRABALHISTAS'!#REF!</definedName>
    <definedName name="PERC_GPS_FGTS_AVISO_PREVIO_TRAB" localSheetId="0">'[1]ENCARGOS-SOCIAIS-E-TRABALHISTAS'!#REF!</definedName>
    <definedName name="PERC_GPS_FGTS_AVISO_PREVIO_TRAB" localSheetId="1">'[1]ENCARGOS-SOCIAIS-E-TRABALHISTAS'!#REF!</definedName>
    <definedName name="PERC_GPS_FGTS_AVISO_PREVIO_TRAB">'[1]ENCARGOS-SOCIAIS-E-TRABALHISTAS'!#REF!</definedName>
    <definedName name="PERC_HORA_EXTRA">'[1]INSERÇÃO-DE-DADOS'!$F$55</definedName>
    <definedName name="PERC_INCRA">'[1]ENCARGOS-SOCIAIS-E-TRABALHISTAS'!$E$15</definedName>
    <definedName name="PERC_INSS">'[1]ENCARGOS-SOCIAIS-E-TRABALHISTAS'!$E$9</definedName>
    <definedName name="PERC_ISS">'[1]INSERÇÃO-DE-DADOS'!$F$71</definedName>
    <definedName name="PERC_LUCRO">'[1]INSERÇÃO-DE-DADOS'!$F$68</definedName>
    <definedName name="PERC_MULTA_FGTS">'[1]DADOS-ESTATISTICOS'!$F$22</definedName>
    <definedName name="PERC_MULTA_FGTS_AV_PREV_IND" localSheetId="10">'[1]ENCARGOS-SOCIAIS-E-TRABALHISTAS'!#REF!</definedName>
    <definedName name="PERC_MULTA_FGTS_AV_PREV_IND" localSheetId="12">'[1]ENCARGOS-SOCIAIS-E-TRABALHISTAS'!#REF!</definedName>
    <definedName name="PERC_MULTA_FGTS_AV_PREV_IND" localSheetId="0">'[1]ENCARGOS-SOCIAIS-E-TRABALHISTAS'!#REF!</definedName>
    <definedName name="PERC_MULTA_FGTS_AV_PREV_IND" localSheetId="1">'[1]ENCARGOS-SOCIAIS-E-TRABALHISTAS'!#REF!</definedName>
    <definedName name="PERC_MULTA_FGTS_AV_PREV_IND">'[1]ENCARGOS-SOCIAIS-E-TRABALHISTAS'!#REF!</definedName>
    <definedName name="PERC_MULTA_FGTS_AV_PREV_TRAB">'[1]ENCARGOS-SOCIAIS-E-TRABALHISTAS'!$E$22</definedName>
    <definedName name="PERC_NASCIDOS_VIVOS_POPUL_FEM">'[1]DADOS-ESTATISTICOS'!$F$31</definedName>
    <definedName name="PERC_PARTIC_FEM_VIGIL">'[1]DADOS-ESTATISTICOS'!$F$36</definedName>
    <definedName name="PERC_PARTIC_MASC_VIGIL">'[1]DADOS-ESTATISTICOS'!$F$32</definedName>
    <definedName name="PERC_PIS">'[1]INSERÇÃO-DE-DADOS'!$F$69</definedName>
    <definedName name="PERC_RAT">'[1]ENCARGOS-SOCIAIS-E-TRABALHISTAS'!$E$11</definedName>
    <definedName name="PERC_SAL_EDUCACAO">'[1]ENCARGOS-SOCIAIS-E-TRABALHISTAS'!$E$10</definedName>
    <definedName name="PERC_SEBRAE">'[1]ENCARGOS-SOCIAIS-E-TRABALHISTAS'!$E$14</definedName>
    <definedName name="PERC_SENAC">'[1]ENCARGOS-SOCIAIS-E-TRABALHISTAS'!$E$13</definedName>
    <definedName name="PERC_SESC">'[1]ENCARGOS-SOCIAIS-E-TRABALHISTAS'!$E$12</definedName>
    <definedName name="PERC_SUBSTITUTO_ACID_TRAB">'[1]ENCARGOS-SOCIAIS-E-TRABALHISTAS'!$E$29</definedName>
    <definedName name="PERC_SUBSTITUTO_AFAST_MATERN">'[1]ENCARGOS-SOCIAIS-E-TRABALHISTAS'!$E$30</definedName>
    <definedName name="PERC_SUBSTITUTO_AUSENCIAS_LEGAIS">'[1]ENCARGOS-SOCIAIS-E-TRABALHISTAS'!$E$27</definedName>
    <definedName name="PERC_SUBSTITUTO_FERIAS">'[1]ENCARGOS-SOCIAIS-E-TRABALHISTAS'!$E$26</definedName>
    <definedName name="PERC_SUBSTITUTO_LICENCA_PATERNIDADE">'[1]ENCARGOS-SOCIAIS-E-TRABALHISTAS'!$E$28</definedName>
    <definedName name="PERC_SUBSTITUTO_OUTRAS_AUSENCIAS">'[1]INSERÇÃO-DE-DADOS'!$F$51</definedName>
    <definedName name="PERC_TRIBUTOS">'[1]POSTO 12x36 HORAS - NOTURNO'!$E$89</definedName>
    <definedName name="Po" localSheetId="3">#REF!</definedName>
    <definedName name="Po" localSheetId="10">#REF!</definedName>
    <definedName name="Po" localSheetId="12">#REF!</definedName>
    <definedName name="Po" localSheetId="0">#REF!</definedName>
    <definedName name="Po" localSheetId="1">#REF!</definedName>
    <definedName name="Po">#REF!</definedName>
    <definedName name="POSTO_12X36_DIU">'[1]INSERÇÃO-DE-DADOS'!$C$19</definedName>
    <definedName name="POSTO_12X36_NOT">'[1]INSERÇÃO-DE-DADOS'!$C$20</definedName>
    <definedName name="POSTO_44H">'[1]INSERÇÃO-DE-DADOS'!$C$21</definedName>
    <definedName name="QTDE_DE_POSTOS_12X36_DIU">'[1]INSERÇÃO-DE-DADOS'!$F$19</definedName>
    <definedName name="QTDE_DE_POSTOS_12X36_NOT">'[1]INSERÇÃO-DE-DADOS'!$F$20</definedName>
    <definedName name="QTDE_DE_POSTOS_44H">'[1]INSERÇÃO-DE-DADOS'!$F$21</definedName>
    <definedName name="RAMO">'[1]INSERÇÃO-DE-DADOS'!$B$1</definedName>
    <definedName name="SALARIO_BASE">'[1]INSERÇÃO-DE-DADOS'!$F$33</definedName>
    <definedName name="Serviços">'[3]Dados - Não mexer'!$A:$A</definedName>
    <definedName name="ssss" localSheetId="3">#REF!</definedName>
    <definedName name="ssss" localSheetId="10">#REF!</definedName>
    <definedName name="ssss" localSheetId="12">#REF!</definedName>
    <definedName name="ssss" localSheetId="0">#REF!</definedName>
    <definedName name="ssss" localSheetId="1">#REF!</definedName>
    <definedName name="ssss">#REF!</definedName>
    <definedName name="sssss" localSheetId="3">#REF!</definedName>
    <definedName name="sssss" localSheetId="10">#REF!</definedName>
    <definedName name="sssss" localSheetId="12">#REF!</definedName>
    <definedName name="sssss" localSheetId="0">#REF!</definedName>
    <definedName name="sssss" localSheetId="1">#REF!</definedName>
    <definedName name="sssss">#REF!</definedName>
    <definedName name="SUBMOD_2_1_DEC_TERC_ADIC_FERIAS_12X36_DIU">'[1]POSTO SUP 12x36 HORAS - DIURNO'!$F$35</definedName>
    <definedName name="SUBMOD_2_1_DEC_TERC_ADIC_FERIAS_12X36_NOT">'[1]POSTO 12x36 HORAS - NOTURNO'!$F$35</definedName>
    <definedName name="SUBMOD_2_1_DEC_TERC_ADIC_FERIAS_44H" localSheetId="10">#REF!</definedName>
    <definedName name="SUBMOD_2_1_DEC_TERC_ADIC_FERIAS_44H" localSheetId="12">#REF!</definedName>
    <definedName name="SUBMOD_2_1_DEC_TERC_ADIC_FERIAS_44H" localSheetId="0">#REF!</definedName>
    <definedName name="SUBMOD_2_1_DEC_TERC_ADIC_FERIAS_44H" localSheetId="1">#REF!</definedName>
    <definedName name="SUBMOD_2_1_DEC_TERC_ADIC_FERIAS_44H">#REF!</definedName>
    <definedName name="SUBMOD_2_2_GPS_FGTS_12X36_DIU">'[1]POSTO SUP 12x36 HORAS - DIURNO'!$F$46</definedName>
    <definedName name="SUBMOD_2_2_GPS_FGTS_12X36_NOT">'[1]POSTO 12x36 HORAS - NOTURNO'!$F$46</definedName>
    <definedName name="SUBMOD_2_2_GPS_FGTS_44H" localSheetId="10">#REF!</definedName>
    <definedName name="SUBMOD_2_2_GPS_FGTS_44H" localSheetId="12">#REF!</definedName>
    <definedName name="SUBMOD_2_2_GPS_FGTS_44H" localSheetId="0">#REF!</definedName>
    <definedName name="SUBMOD_2_2_GPS_FGTS_44H" localSheetId="1">#REF!</definedName>
    <definedName name="SUBMOD_2_2_GPS_FGTS_44H">#REF!</definedName>
    <definedName name="SUBMOD_2_3_BENEFICIOS_12X36_DIU">'[1]POSTO SUP 12x36 HORAS - DIURNO'!$F$54</definedName>
    <definedName name="SUBMOD_2_3_BENEFICIOS_12X36_NOT">'[1]POSTO 12x36 HORAS - NOTURNO'!$F$54</definedName>
    <definedName name="SUBMOD_2_3_BENEFICIOS_44H" localSheetId="10">#REF!</definedName>
    <definedName name="SUBMOD_2_3_BENEFICIOS_44H" localSheetId="12">#REF!</definedName>
    <definedName name="SUBMOD_2_3_BENEFICIOS_44H" localSheetId="0">#REF!</definedName>
    <definedName name="SUBMOD_2_3_BENEFICIOS_44H" localSheetId="1">#REF!</definedName>
    <definedName name="SUBMOD_2_3_BENEFICIOS_44H">#REF!</definedName>
    <definedName name="SUBMOD_4_1_AUSENCIAS_LEGAIS_44H" localSheetId="10">#REF!</definedName>
    <definedName name="SUBMOD_4_1_AUSENCIAS_LEGAIS_44H" localSheetId="12">#REF!</definedName>
    <definedName name="SUBMOD_4_1_AUSENCIAS_LEGAIS_44H" localSheetId="0">#REF!</definedName>
    <definedName name="SUBMOD_4_1_AUSENCIAS_LEGAIS_44H" localSheetId="1">#REF!</definedName>
    <definedName name="SUBMOD_4_1_AUSENCIAS_LEGAIS_44H">#REF!</definedName>
    <definedName name="SUBMOD_4_1_SUBSTITUTO_12X36_DIU">'[1]POSTO SUP 12x36 HORAS - DIURNO'!$F$71</definedName>
    <definedName name="SUBMOD_4_1_SUBSTITUTO_12X36_NOT">'[1]POSTO 12x36 HORAS - NOTURNO'!$F$71</definedName>
    <definedName name="SUBMOD_4_1_SUBSTITUTO_44H" localSheetId="10">#REF!</definedName>
    <definedName name="SUBMOD_4_1_SUBSTITUTO_44H" localSheetId="12">#REF!</definedName>
    <definedName name="SUBMOD_4_1_SUBSTITUTO_44H" localSheetId="0">#REF!</definedName>
    <definedName name="SUBMOD_4_1_SUBSTITUTO_44H" localSheetId="1">#REF!</definedName>
    <definedName name="SUBMOD_4_1_SUBSTITUTO_44H">#REF!</definedName>
    <definedName name="SUBMOD_4_2_INTRAJORNADA_44H" localSheetId="10">#REF!</definedName>
    <definedName name="SUBMOD_4_2_INTRAJORNADA_44H" localSheetId="12">#REF!</definedName>
    <definedName name="SUBMOD_4_2_INTRAJORNADA_44H" localSheetId="0">#REF!</definedName>
    <definedName name="SUBMOD_4_2_INTRAJORNADA_44H" localSheetId="1">#REF!</definedName>
    <definedName name="SUBMOD_4_2_INTRAJORNADA_44H">#REF!</definedName>
    <definedName name="TEMPO_INTERVALO_REFEICAO">'[1]INSERÇÃO-DE-DADOS'!$F$56</definedName>
    <definedName name="TIPO_DE_SERVICO">'[1]INSERÇÃO-DE-DADOS'!$E$24</definedName>
    <definedName name="To" localSheetId="3">#REF!</definedName>
    <definedName name="To" localSheetId="10">#REF!</definedName>
    <definedName name="To" localSheetId="12">#REF!</definedName>
    <definedName name="To" localSheetId="0">#REF!</definedName>
    <definedName name="To" localSheetId="1">#REF!</definedName>
    <definedName name="To">#REF!</definedName>
    <definedName name="TRANSPORTE_POR_DIA">'[1]INSERÇÃO-DE-DADOS'!$F$42</definedName>
    <definedName name="UG">'[1]INSERÇÃO-DE-DADOS'!$B$2</definedName>
    <definedName name="UNIFORMES">'[1]INSERÇÃO-DE-DADOS'!$F$60</definedName>
    <definedName name="VALOR_TOTAL_EMPREGADO_12x36_DIU">'[1]POSTO SUP 12x36 HORAS - DIURNO'!$F$102</definedName>
    <definedName name="VALOR_TOTAL_EMPREGADO_12x36_NOT">'[1]POSTO 12x36 HORAS - NOTURNO'!$F$102</definedName>
    <definedName name="VALOR_TOTAL_EMPREGADO_44H" localSheetId="10">#REF!</definedName>
    <definedName name="VALOR_TOTAL_EMPREGADO_44H" localSheetId="12">#REF!</definedName>
    <definedName name="VALOR_TOTAL_EMPREGADO_44H" localSheetId="0">#REF!</definedName>
    <definedName name="VALOR_TOTAL_EMPREGADO_44H" localSheetId="1">#REF!</definedName>
    <definedName name="VALOR_TOTAL_EMPREGADO_44H">#REF!</definedName>
    <definedName name="VALOR_TOTAL_POSTO_12x36_DIU">'[1]POSTO SUP 12x36 HORAS - DIURNO'!$F$103</definedName>
    <definedName name="VALOR_TOTAL_POSTO_12x36_NOT">'[1]POSTO 12x36 HORAS - NOTURNO'!$F$103</definedName>
    <definedName name="VALOR_TOTAL_POSTO_44H" localSheetId="10">#REF!</definedName>
    <definedName name="VALOR_TOTAL_POSTO_44H" localSheetId="12">#REF!</definedName>
    <definedName name="VALOR_TOTAL_POSTO_44H" localSheetId="0">#REF!</definedName>
    <definedName name="VALOR_TOTAL_POSTO_44H" localSheetId="1">#REF!</definedName>
    <definedName name="VALOR_TOTAL_POSTO_44H">#REF!</definedName>
    <definedName name="vvvv" localSheetId="3">#REF!</definedName>
    <definedName name="vvvv" localSheetId="10">#REF!</definedName>
    <definedName name="vvvv" localSheetId="12">#REF!</definedName>
    <definedName name="vvvv" localSheetId="0">#REF!</definedName>
    <definedName name="vvvv" localSheetId="1">#REF!</definedName>
    <definedName name="vvvv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34" l="1"/>
  <c r="D16" i="34"/>
  <c r="G29" i="77"/>
  <c r="H16" i="68" l="1"/>
  <c r="I43" i="71" l="1"/>
  <c r="I44" i="83"/>
  <c r="I42" i="64"/>
  <c r="I42" i="82"/>
  <c r="I44" i="74"/>
  <c r="I44" i="69"/>
  <c r="I42" i="73"/>
  <c r="I42" i="18"/>
  <c r="I42" i="68"/>
  <c r="I42" i="72"/>
  <c r="E47" i="34" l="1"/>
  <c r="G42" i="34"/>
  <c r="F42" i="34"/>
  <c r="D18" i="81" l="1"/>
  <c r="D47" i="81"/>
  <c r="Q6" i="81"/>
  <c r="P6" i="81"/>
  <c r="E18" i="81" l="1"/>
  <c r="F18" i="81"/>
  <c r="G18" i="81" s="1"/>
  <c r="E42" i="34" l="1"/>
  <c r="D46" i="34" l="1"/>
  <c r="F38" i="34"/>
  <c r="G37" i="34"/>
  <c r="E37" i="34"/>
  <c r="G36" i="34"/>
  <c r="E36" i="34"/>
  <c r="G35" i="34"/>
  <c r="E35" i="34"/>
  <c r="G34" i="34"/>
  <c r="E34" i="34"/>
  <c r="G33" i="34"/>
  <c r="E33" i="34"/>
  <c r="G32" i="34"/>
  <c r="E32" i="34"/>
  <c r="G31" i="34"/>
  <c r="E31" i="34"/>
  <c r="E30" i="34"/>
  <c r="H30" i="34" s="1"/>
  <c r="H35" i="34" l="1"/>
  <c r="I35" i="34" s="1"/>
  <c r="H31" i="34"/>
  <c r="H38" i="34" s="1"/>
  <c r="V5" i="34" s="1"/>
  <c r="H33" i="34"/>
  <c r="I33" i="34" s="1"/>
  <c r="H37" i="34"/>
  <c r="I37" i="34" s="1"/>
  <c r="H32" i="34"/>
  <c r="I32" i="34" s="1"/>
  <c r="H34" i="34"/>
  <c r="I34" i="34" s="1"/>
  <c r="H36" i="34"/>
  <c r="I36" i="34" s="1"/>
  <c r="G38" i="34"/>
  <c r="I30" i="34"/>
  <c r="E44" i="81"/>
  <c r="F44" i="81" s="1"/>
  <c r="G44" i="81" s="1"/>
  <c r="I31" i="34" l="1"/>
  <c r="I38" i="34" s="1"/>
  <c r="P6" i="34"/>
  <c r="U5" i="34"/>
  <c r="E49" i="81"/>
  <c r="D48" i="81"/>
  <c r="W5" i="34" l="1"/>
  <c r="X5" i="34"/>
  <c r="D45" i="34"/>
  <c r="Q6" i="34"/>
  <c r="G13" i="81"/>
  <c r="G12" i="81"/>
  <c r="G11" i="81"/>
  <c r="G10" i="81"/>
  <c r="G9" i="81"/>
  <c r="G8" i="81"/>
  <c r="G7" i="81"/>
  <c r="G6" i="81"/>
  <c r="G4" i="81"/>
  <c r="G5" i="81"/>
  <c r="F14" i="81"/>
  <c r="N7" i="81" s="1"/>
  <c r="I33" i="83"/>
  <c r="D49" i="83" l="1"/>
  <c r="E45" i="83"/>
  <c r="D32" i="83"/>
  <c r="D31" i="83"/>
  <c r="I23" i="83"/>
  <c r="D47" i="82"/>
  <c r="E43" i="82"/>
  <c r="J12" i="81"/>
  <c r="D22" i="81" l="1"/>
  <c r="G14" i="81"/>
  <c r="O7" i="81" s="1"/>
  <c r="D31" i="71"/>
  <c r="D30" i="71"/>
  <c r="D28" i="73"/>
  <c r="D30" i="69" s="1"/>
  <c r="D28" i="18"/>
  <c r="D28" i="68"/>
  <c r="D28" i="72"/>
  <c r="B8" i="80"/>
  <c r="B10" i="80" s="1"/>
  <c r="D30" i="74" l="1"/>
  <c r="E16" i="18"/>
  <c r="E16" i="69" s="1"/>
  <c r="E16" i="82" s="1"/>
  <c r="E21" i="82" s="1"/>
  <c r="E21" i="68"/>
  <c r="E16" i="73"/>
  <c r="E16" i="74" s="1"/>
  <c r="E21" i="74" s="1"/>
  <c r="E21" i="72"/>
  <c r="E22" i="82" l="1"/>
  <c r="E23" i="82"/>
  <c r="D29" i="82"/>
  <c r="D28" i="64"/>
  <c r="E44" i="82"/>
  <c r="E21" i="69"/>
  <c r="E16" i="64"/>
  <c r="E16" i="83" s="1"/>
  <c r="E21" i="83" s="1"/>
  <c r="E21" i="18"/>
  <c r="E21" i="73"/>
  <c r="E24" i="82" l="1"/>
  <c r="E22" i="83"/>
  <c r="E24" i="83" s="1"/>
  <c r="E46" i="83"/>
  <c r="I19" i="82"/>
  <c r="I21" i="82" s="1"/>
  <c r="I22" i="82" s="1"/>
  <c r="I25" i="82" s="1"/>
  <c r="E16" i="71"/>
  <c r="E21" i="71" s="1"/>
  <c r="E21" i="64"/>
  <c r="E44" i="68"/>
  <c r="E44" i="18" s="1"/>
  <c r="E44" i="73" s="1"/>
  <c r="E46" i="69" s="1"/>
  <c r="E46" i="74" s="1"/>
  <c r="I29" i="83" l="1"/>
  <c r="I31" i="83" s="1"/>
  <c r="I32" i="83" s="1"/>
  <c r="E25" i="83"/>
  <c r="E26" i="83" s="1"/>
  <c r="E44" i="64"/>
  <c r="E45" i="82"/>
  <c r="E47" i="82" s="1"/>
  <c r="E23" i="83"/>
  <c r="I20" i="83"/>
  <c r="I27" i="83" s="1"/>
  <c r="E29" i="82"/>
  <c r="D76" i="68"/>
  <c r="D59" i="72"/>
  <c r="D59" i="68" s="1"/>
  <c r="D60" i="18" s="1"/>
  <c r="D60" i="73" s="1"/>
  <c r="D62" i="69" s="1"/>
  <c r="D62" i="74" s="1"/>
  <c r="D55" i="72"/>
  <c r="D55" i="68" s="1"/>
  <c r="D56" i="18" s="1"/>
  <c r="D56" i="73" s="1"/>
  <c r="D58" i="69" s="1"/>
  <c r="D58" i="74" s="1"/>
  <c r="D52" i="72"/>
  <c r="D52" i="68" s="1"/>
  <c r="D53" i="18" s="1"/>
  <c r="D53" i="73" s="1"/>
  <c r="D55" i="69" s="1"/>
  <c r="D55" i="74" s="1"/>
  <c r="D38" i="72"/>
  <c r="D38" i="68" s="1"/>
  <c r="D38" i="18" s="1"/>
  <c r="D38" i="73" s="1"/>
  <c r="D40" i="69" s="1"/>
  <c r="D40" i="74" s="1"/>
  <c r="D29" i="72"/>
  <c r="D27" i="72"/>
  <c r="D27" i="68" s="1"/>
  <c r="D27" i="18" s="1"/>
  <c r="D27" i="73" s="1"/>
  <c r="D29" i="69" s="1"/>
  <c r="D29" i="74" s="1"/>
  <c r="B25" i="80"/>
  <c r="B26" i="80" s="1"/>
  <c r="B28" i="80"/>
  <c r="D53" i="72" s="1"/>
  <c r="D53" i="68" s="1"/>
  <c r="D54" i="18" s="1"/>
  <c r="D54" i="73" s="1"/>
  <c r="D56" i="69" s="1"/>
  <c r="D56" i="74" s="1"/>
  <c r="B38" i="80"/>
  <c r="D62" i="72" s="1"/>
  <c r="D62" i="68" s="1"/>
  <c r="D63" i="18" s="1"/>
  <c r="D63" i="73" s="1"/>
  <c r="D65" i="69" s="1"/>
  <c r="D65" i="74" s="1"/>
  <c r="B36" i="80"/>
  <c r="D60" i="72" s="1"/>
  <c r="D60" i="68" s="1"/>
  <c r="D61" i="18" s="1"/>
  <c r="D61" i="73" s="1"/>
  <c r="D63" i="69" s="1"/>
  <c r="D63" i="74" s="1"/>
  <c r="B39" i="80"/>
  <c r="D63" i="72" s="1"/>
  <c r="D63" i="68" s="1"/>
  <c r="D64" i="18" s="1"/>
  <c r="D64" i="73" s="1"/>
  <c r="D66" i="69" s="1"/>
  <c r="D66" i="74" s="1"/>
  <c r="B37" i="80"/>
  <c r="D61" i="72" s="1"/>
  <c r="D61" i="68" s="1"/>
  <c r="D62" i="18" s="1"/>
  <c r="B21" i="80"/>
  <c r="I36" i="83" l="1"/>
  <c r="D63" i="64"/>
  <c r="D64" i="82"/>
  <c r="D52" i="64"/>
  <c r="D53" i="82"/>
  <c r="E53" i="82" s="1"/>
  <c r="D60" i="64"/>
  <c r="D61" i="82"/>
  <c r="E61" i="82" s="1"/>
  <c r="D27" i="64"/>
  <c r="D28" i="82"/>
  <c r="E28" i="82" s="1"/>
  <c r="D55" i="64"/>
  <c r="D56" i="82"/>
  <c r="E56" i="82" s="1"/>
  <c r="D59" i="64"/>
  <c r="D60" i="82"/>
  <c r="E60" i="82" s="1"/>
  <c r="D62" i="64"/>
  <c r="D63" i="82"/>
  <c r="E63" i="82" s="1"/>
  <c r="D53" i="64"/>
  <c r="D54" i="82"/>
  <c r="E54" i="82" s="1"/>
  <c r="D38" i="64"/>
  <c r="D39" i="82"/>
  <c r="D41" i="82" s="1"/>
  <c r="E46" i="71"/>
  <c r="E47" i="83"/>
  <c r="E49" i="83" s="1"/>
  <c r="E31" i="83"/>
  <c r="E32" i="83"/>
  <c r="D29" i="68"/>
  <c r="D29" i="73"/>
  <c r="D29" i="18"/>
  <c r="D65" i="72"/>
  <c r="D50" i="72"/>
  <c r="B9" i="80"/>
  <c r="B29" i="80"/>
  <c r="B31" i="80" s="1"/>
  <c r="B41" i="80"/>
  <c r="B42" i="80" s="1"/>
  <c r="D31" i="74" l="1"/>
  <c r="D31" i="69"/>
  <c r="D55" i="71"/>
  <c r="D56" i="83"/>
  <c r="E56" i="83" s="1"/>
  <c r="D61" i="71"/>
  <c r="D62" i="83"/>
  <c r="E62" i="83" s="1"/>
  <c r="D29" i="71"/>
  <c r="D30" i="83"/>
  <c r="E30" i="83" s="1"/>
  <c r="E33" i="83" s="1"/>
  <c r="D54" i="71"/>
  <c r="D55" i="83"/>
  <c r="E55" i="83" s="1"/>
  <c r="D67" i="82"/>
  <c r="E64" i="82"/>
  <c r="D40" i="71"/>
  <c r="D41" i="83"/>
  <c r="D43" i="83" s="1"/>
  <c r="D64" i="71"/>
  <c r="D65" i="83"/>
  <c r="E65" i="83" s="1"/>
  <c r="D57" i="71"/>
  <c r="D58" i="83"/>
  <c r="E58" i="83" s="1"/>
  <c r="D62" i="71"/>
  <c r="D63" i="83"/>
  <c r="E63" i="83" s="1"/>
  <c r="D65" i="71"/>
  <c r="D66" i="83"/>
  <c r="D50" i="68"/>
  <c r="D51" i="18" s="1"/>
  <c r="D51" i="73" s="1"/>
  <c r="D53" i="69" s="1"/>
  <c r="D53" i="74" s="1"/>
  <c r="B48" i="80"/>
  <c r="B43" i="80"/>
  <c r="B47" i="80" s="1"/>
  <c r="E36" i="83" l="1"/>
  <c r="E42" i="83"/>
  <c r="E40" i="83"/>
  <c r="D69" i="83"/>
  <c r="E66" i="83"/>
  <c r="E41" i="83"/>
  <c r="D50" i="64"/>
  <c r="D51" i="82"/>
  <c r="E51" i="82" s="1"/>
  <c r="E38" i="83"/>
  <c r="E35" i="83"/>
  <c r="E39" i="83"/>
  <c r="D30" i="82"/>
  <c r="E30" i="82" s="1"/>
  <c r="E31" i="82" s="1"/>
  <c r="D29" i="64"/>
  <c r="E37" i="83"/>
  <c r="B49" i="80"/>
  <c r="H29" i="77"/>
  <c r="I29" i="77" s="1"/>
  <c r="J29" i="77" s="1"/>
  <c r="K29" i="77" s="1"/>
  <c r="L29" i="77" s="1"/>
  <c r="G27" i="77"/>
  <c r="F27" i="77"/>
  <c r="J26" i="77"/>
  <c r="K26" i="77" s="1"/>
  <c r="L26" i="77" s="1"/>
  <c r="C26" i="77"/>
  <c r="J25" i="77"/>
  <c r="K25" i="77" s="1"/>
  <c r="L25" i="77" s="1"/>
  <c r="I25" i="77"/>
  <c r="C25" i="77"/>
  <c r="J24" i="77"/>
  <c r="K24" i="77" s="1"/>
  <c r="M24" i="77" s="1"/>
  <c r="I24" i="77"/>
  <c r="C24" i="77"/>
  <c r="J23" i="77"/>
  <c r="K23" i="77" s="1"/>
  <c r="L23" i="77" s="1"/>
  <c r="I23" i="77"/>
  <c r="C23" i="77"/>
  <c r="J22" i="77"/>
  <c r="K22" i="77" s="1"/>
  <c r="M22" i="77" s="1"/>
  <c r="C22" i="77"/>
  <c r="J21" i="77"/>
  <c r="K21" i="77" s="1"/>
  <c r="L21" i="77" s="1"/>
  <c r="I21" i="77"/>
  <c r="C21" i="77"/>
  <c r="J20" i="77"/>
  <c r="K20" i="77" s="1"/>
  <c r="L20" i="77" s="1"/>
  <c r="I20" i="77"/>
  <c r="C20" i="77"/>
  <c r="J19" i="77"/>
  <c r="C19" i="77"/>
  <c r="E43" i="83" l="1"/>
  <c r="E50" i="83" s="1"/>
  <c r="M20" i="77"/>
  <c r="E37" i="82"/>
  <c r="E38" i="82"/>
  <c r="E33" i="82"/>
  <c r="E35" i="82"/>
  <c r="E36" i="82"/>
  <c r="E40" i="82"/>
  <c r="E34" i="82"/>
  <c r="E39" i="82"/>
  <c r="D52" i="71"/>
  <c r="D53" i="83"/>
  <c r="E53" i="83" s="1"/>
  <c r="M21" i="77"/>
  <c r="M23" i="77"/>
  <c r="M25" i="77"/>
  <c r="M26" i="77"/>
  <c r="M29" i="77"/>
  <c r="L22" i="77"/>
  <c r="K19" i="77"/>
  <c r="M19" i="77" s="1"/>
  <c r="J27" i="77"/>
  <c r="K30" i="77" s="1"/>
  <c r="L24" i="77"/>
  <c r="I22" i="77"/>
  <c r="I19" i="77"/>
  <c r="I26" i="77"/>
  <c r="E41" i="82" l="1"/>
  <c r="E48" i="82" s="1"/>
  <c r="K27" i="77"/>
  <c r="K35" i="77" s="1"/>
  <c r="L19" i="77"/>
  <c r="C5" i="67" l="1"/>
  <c r="C4" i="67"/>
  <c r="D28" i="67" l="1"/>
  <c r="D24" i="67"/>
  <c r="D23" i="67"/>
  <c r="D18" i="67"/>
  <c r="D17" i="67"/>
  <c r="D16" i="67"/>
  <c r="D15" i="67"/>
  <c r="D9" i="67"/>
  <c r="D8" i="67"/>
  <c r="D7" i="67"/>
  <c r="D6" i="67"/>
  <c r="D5" i="67"/>
  <c r="D4" i="67"/>
  <c r="D35" i="66"/>
  <c r="D34" i="66"/>
  <c r="D33" i="66"/>
  <c r="D32" i="66"/>
  <c r="D31" i="66"/>
  <c r="D30" i="66"/>
  <c r="D29" i="66"/>
  <c r="D24" i="66"/>
  <c r="D23" i="66"/>
  <c r="D22" i="66"/>
  <c r="D21" i="66"/>
  <c r="D20" i="66"/>
  <c r="D14" i="66"/>
  <c r="D13" i="66"/>
  <c r="D12" i="66"/>
  <c r="D11" i="66"/>
  <c r="D10" i="66"/>
  <c r="D9" i="66"/>
  <c r="D8" i="66"/>
  <c r="D7" i="66"/>
  <c r="D6" i="66"/>
  <c r="D5" i="66"/>
  <c r="D68" i="71"/>
  <c r="D48" i="71"/>
  <c r="E45" i="71"/>
  <c r="E44" i="71"/>
  <c r="D42" i="71"/>
  <c r="I23" i="71"/>
  <c r="E22" i="71"/>
  <c r="D66" i="64"/>
  <c r="D46" i="64"/>
  <c r="E43" i="64"/>
  <c r="E42" i="64"/>
  <c r="D40" i="64"/>
  <c r="E22" i="64"/>
  <c r="E23" i="64" s="1"/>
  <c r="D69" i="74"/>
  <c r="D49" i="74"/>
  <c r="E44" i="74"/>
  <c r="D42" i="74"/>
  <c r="I22" i="74"/>
  <c r="E22" i="74"/>
  <c r="E23" i="74" s="1"/>
  <c r="D69" i="69"/>
  <c r="D49" i="69"/>
  <c r="E45" i="69"/>
  <c r="E44" i="69"/>
  <c r="D42" i="69"/>
  <c r="I22" i="69"/>
  <c r="E22" i="69"/>
  <c r="E23" i="69" s="1"/>
  <c r="D67" i="73"/>
  <c r="D62" i="73"/>
  <c r="D64" i="69" s="1"/>
  <c r="D64" i="74" s="1"/>
  <c r="D47" i="73"/>
  <c r="E42" i="73"/>
  <c r="D40" i="73"/>
  <c r="E22" i="73"/>
  <c r="E23" i="73" s="1"/>
  <c r="D67" i="18"/>
  <c r="D47" i="18"/>
  <c r="E43" i="18"/>
  <c r="E42" i="18"/>
  <c r="D40" i="18"/>
  <c r="E22" i="18"/>
  <c r="E23" i="18" s="1"/>
  <c r="D66" i="68"/>
  <c r="D51" i="68"/>
  <c r="D46" i="68"/>
  <c r="E43" i="68"/>
  <c r="E42" i="68"/>
  <c r="D40" i="68"/>
  <c r="E22" i="68"/>
  <c r="E23" i="68" s="1"/>
  <c r="D51" i="72"/>
  <c r="D46" i="72"/>
  <c r="E43" i="72"/>
  <c r="E42" i="72"/>
  <c r="D40" i="72"/>
  <c r="E22" i="72"/>
  <c r="E23" i="72" s="1"/>
  <c r="E16" i="34"/>
  <c r="F16" i="34" s="1"/>
  <c r="F12" i="34"/>
  <c r="J11" i="34"/>
  <c r="G11" i="34"/>
  <c r="G10" i="34"/>
  <c r="G9" i="34"/>
  <c r="G8" i="34"/>
  <c r="G7" i="34"/>
  <c r="G6" i="34"/>
  <c r="G5" i="34"/>
  <c r="F8" i="66" l="1"/>
  <c r="G8" i="66"/>
  <c r="H8" i="66" s="1"/>
  <c r="F21" i="66"/>
  <c r="G21" i="66"/>
  <c r="H21" i="66" s="1"/>
  <c r="F33" i="66"/>
  <c r="G33" i="66"/>
  <c r="H33" i="66" s="1"/>
  <c r="F9" i="67"/>
  <c r="G9" i="67"/>
  <c r="H9" i="67" s="1"/>
  <c r="F5" i="66"/>
  <c r="G5" i="66"/>
  <c r="H5" i="66" s="1"/>
  <c r="F9" i="66"/>
  <c r="G9" i="66"/>
  <c r="H9" i="66" s="1"/>
  <c r="F13" i="66"/>
  <c r="G13" i="66"/>
  <c r="H13" i="66" s="1"/>
  <c r="F22" i="66"/>
  <c r="G22" i="66"/>
  <c r="H22" i="66" s="1"/>
  <c r="F30" i="66"/>
  <c r="G30" i="66"/>
  <c r="H30" i="66" s="1"/>
  <c r="F34" i="66"/>
  <c r="G34" i="66"/>
  <c r="H34" i="66" s="1"/>
  <c r="F6" i="67"/>
  <c r="G6" i="67"/>
  <c r="H6" i="67" s="1"/>
  <c r="F15" i="67"/>
  <c r="G15" i="67"/>
  <c r="H15" i="67" s="1"/>
  <c r="F23" i="67"/>
  <c r="G23" i="67"/>
  <c r="H23" i="67" s="1"/>
  <c r="F29" i="66"/>
  <c r="G29" i="66"/>
  <c r="H29" i="66" s="1"/>
  <c r="F18" i="67"/>
  <c r="G18" i="67"/>
  <c r="H18" i="67" s="1"/>
  <c r="F6" i="66"/>
  <c r="G6" i="66"/>
  <c r="H6" i="66" s="1"/>
  <c r="F10" i="66"/>
  <c r="G10" i="66"/>
  <c r="H10" i="66" s="1"/>
  <c r="F14" i="66"/>
  <c r="G14" i="66"/>
  <c r="H14" i="66" s="1"/>
  <c r="F23" i="66"/>
  <c r="G23" i="66"/>
  <c r="H23" i="66" s="1"/>
  <c r="F31" i="66"/>
  <c r="G31" i="66"/>
  <c r="H31" i="66" s="1"/>
  <c r="F35" i="66"/>
  <c r="G35" i="66"/>
  <c r="H35" i="66" s="1"/>
  <c r="F7" i="67"/>
  <c r="G7" i="67"/>
  <c r="H7" i="67" s="1"/>
  <c r="F16" i="67"/>
  <c r="G16" i="67"/>
  <c r="H16" i="67" s="1"/>
  <c r="F24" i="67"/>
  <c r="G24" i="67"/>
  <c r="H24" i="67" s="1"/>
  <c r="F12" i="66"/>
  <c r="G12" i="66"/>
  <c r="H12" i="66" s="1"/>
  <c r="F7" i="66"/>
  <c r="G7" i="66"/>
  <c r="H7" i="66" s="1"/>
  <c r="F11" i="66"/>
  <c r="G11" i="66"/>
  <c r="H11" i="66" s="1"/>
  <c r="F20" i="66"/>
  <c r="G20" i="66"/>
  <c r="H20" i="66" s="1"/>
  <c r="H25" i="66" s="1"/>
  <c r="F24" i="66"/>
  <c r="G24" i="66"/>
  <c r="H24" i="66" s="1"/>
  <c r="F32" i="66"/>
  <c r="G32" i="66"/>
  <c r="H32" i="66" s="1"/>
  <c r="F8" i="67"/>
  <c r="G8" i="67"/>
  <c r="H8" i="67" s="1"/>
  <c r="F17" i="67"/>
  <c r="G17" i="67"/>
  <c r="H17" i="67" s="1"/>
  <c r="F28" i="67"/>
  <c r="H28" i="67" s="1"/>
  <c r="G28" i="67"/>
  <c r="F5" i="67"/>
  <c r="G5" i="67"/>
  <c r="H5" i="67" s="1"/>
  <c r="F4" i="67"/>
  <c r="G4" i="67"/>
  <c r="H4" i="67" s="1"/>
  <c r="N7" i="34"/>
  <c r="S6" i="34"/>
  <c r="E23" i="71"/>
  <c r="E24" i="71"/>
  <c r="E25" i="71" s="1"/>
  <c r="D20" i="34"/>
  <c r="D61" i="64"/>
  <c r="E61" i="64" s="1"/>
  <c r="D62" i="82"/>
  <c r="E62" i="82" s="1"/>
  <c r="E66" i="82" s="1"/>
  <c r="E53" i="68"/>
  <c r="E28" i="68"/>
  <c r="E28" i="18"/>
  <c r="E29" i="18"/>
  <c r="E28" i="72"/>
  <c r="E51" i="73"/>
  <c r="E28" i="73"/>
  <c r="E29" i="73"/>
  <c r="E29" i="64"/>
  <c r="E28" i="64"/>
  <c r="D54" i="72"/>
  <c r="D54" i="68" s="1"/>
  <c r="D55" i="18" s="1"/>
  <c r="D55" i="73" s="1"/>
  <c r="D57" i="69" s="1"/>
  <c r="D57" i="74" s="1"/>
  <c r="D66" i="72"/>
  <c r="E49" i="69"/>
  <c r="I20" i="71"/>
  <c r="I27" i="71" s="1"/>
  <c r="E24" i="69"/>
  <c r="E25" i="69" s="1"/>
  <c r="E56" i="18"/>
  <c r="E63" i="18"/>
  <c r="E24" i="74"/>
  <c r="E25" i="74" s="1"/>
  <c r="F15" i="66"/>
  <c r="E63" i="72"/>
  <c r="E59" i="72"/>
  <c r="E46" i="72"/>
  <c r="E51" i="18"/>
  <c r="E29" i="68"/>
  <c r="G12" i="34"/>
  <c r="E54" i="18"/>
  <c r="E53" i="73"/>
  <c r="E46" i="68"/>
  <c r="E51" i="68"/>
  <c r="D52" i="18"/>
  <c r="D52" i="73" s="1"/>
  <c r="D54" i="69" s="1"/>
  <c r="D54" i="74" s="1"/>
  <c r="F25" i="66"/>
  <c r="E62" i="68"/>
  <c r="E55" i="68"/>
  <c r="E50" i="68"/>
  <c r="E61" i="68"/>
  <c r="E60" i="68"/>
  <c r="E27" i="68"/>
  <c r="E52" i="68"/>
  <c r="E59" i="68"/>
  <c r="E60" i="64"/>
  <c r="E53" i="64"/>
  <c r="E46" i="64"/>
  <c r="E27" i="64"/>
  <c r="E52" i="64"/>
  <c r="E63" i="64"/>
  <c r="E59" i="64"/>
  <c r="E62" i="64"/>
  <c r="E55" i="64"/>
  <c r="E50" i="64"/>
  <c r="E60" i="72"/>
  <c r="E27" i="72"/>
  <c r="E52" i="72"/>
  <c r="E61" i="72"/>
  <c r="E53" i="72"/>
  <c r="E29" i="72"/>
  <c r="E55" i="72"/>
  <c r="E63" i="73"/>
  <c r="E50" i="72"/>
  <c r="E61" i="18"/>
  <c r="E60" i="18"/>
  <c r="E53" i="18"/>
  <c r="E64" i="18"/>
  <c r="E27" i="18"/>
  <c r="E62" i="18"/>
  <c r="E49" i="74"/>
  <c r="E51" i="72"/>
  <c r="E63" i="68"/>
  <c r="E47" i="18"/>
  <c r="E56" i="73"/>
  <c r="F19" i="67"/>
  <c r="F36" i="66"/>
  <c r="E62" i="72"/>
  <c r="E54" i="73"/>
  <c r="E47" i="73"/>
  <c r="E62" i="73"/>
  <c r="E61" i="73"/>
  <c r="E64" i="73"/>
  <c r="E60" i="73"/>
  <c r="E27" i="73"/>
  <c r="I19" i="69"/>
  <c r="I26" i="69" s="1"/>
  <c r="I19" i="74"/>
  <c r="I26" i="74" s="1"/>
  <c r="H36" i="66" l="1"/>
  <c r="E70" i="72" s="1"/>
  <c r="H10" i="67"/>
  <c r="E73" i="71" s="1"/>
  <c r="E71" i="68"/>
  <c r="H15" i="66"/>
  <c r="H19" i="67"/>
  <c r="F10" i="67"/>
  <c r="E74" i="83"/>
  <c r="E72" i="82"/>
  <c r="E30" i="72"/>
  <c r="O7" i="34"/>
  <c r="T6" i="34"/>
  <c r="D63" i="71"/>
  <c r="E63" i="71" s="1"/>
  <c r="D64" i="83"/>
  <c r="E64" i="83" s="1"/>
  <c r="E68" i="83" s="1"/>
  <c r="E69" i="83" s="1"/>
  <c r="E70" i="83" s="1"/>
  <c r="E67" i="82"/>
  <c r="E68" i="82" s="1"/>
  <c r="E30" i="68"/>
  <c r="E38" i="68" s="1"/>
  <c r="D51" i="64"/>
  <c r="D52" i="82"/>
  <c r="E52" i="82" s="1"/>
  <c r="D54" i="64"/>
  <c r="E54" i="64" s="1"/>
  <c r="D55" i="82"/>
  <c r="E55" i="82" s="1"/>
  <c r="E30" i="73"/>
  <c r="E32" i="73" s="1"/>
  <c r="E30" i="18"/>
  <c r="E32" i="18" s="1"/>
  <c r="E30" i="64"/>
  <c r="E32" i="64" s="1"/>
  <c r="E31" i="74"/>
  <c r="E30" i="74"/>
  <c r="E30" i="69"/>
  <c r="E31" i="69"/>
  <c r="E31" i="71"/>
  <c r="E30" i="71"/>
  <c r="E54" i="68"/>
  <c r="E56" i="68" s="1"/>
  <c r="E54" i="72"/>
  <c r="E56" i="72" s="1"/>
  <c r="E55" i="18"/>
  <c r="E55" i="73"/>
  <c r="D56" i="72"/>
  <c r="E52" i="18"/>
  <c r="E33" i="72"/>
  <c r="E52" i="73"/>
  <c r="E51" i="64"/>
  <c r="E65" i="64"/>
  <c r="E66" i="64" s="1"/>
  <c r="E67" i="64" s="1"/>
  <c r="E66" i="18"/>
  <c r="E67" i="18" s="1"/>
  <c r="E68" i="18" s="1"/>
  <c r="E65" i="68"/>
  <c r="E66" i="68" s="1"/>
  <c r="E67" i="68" s="1"/>
  <c r="E65" i="72"/>
  <c r="E66" i="72" s="1"/>
  <c r="E57" i="74"/>
  <c r="E64" i="74"/>
  <c r="E56" i="74"/>
  <c r="E63" i="74"/>
  <c r="E29" i="74"/>
  <c r="E66" i="74"/>
  <c r="E62" i="74"/>
  <c r="E54" i="74"/>
  <c r="E53" i="74"/>
  <c r="E65" i="74"/>
  <c r="E58" i="74"/>
  <c r="E55" i="74"/>
  <c r="E66" i="73"/>
  <c r="E55" i="71"/>
  <c r="E48" i="71"/>
  <c r="E62" i="71"/>
  <c r="E29" i="71"/>
  <c r="E54" i="71"/>
  <c r="E65" i="71"/>
  <c r="E61" i="71"/>
  <c r="E64" i="71"/>
  <c r="E57" i="71"/>
  <c r="E52" i="71"/>
  <c r="E57" i="69"/>
  <c r="E64" i="69"/>
  <c r="E56" i="69"/>
  <c r="E63" i="69"/>
  <c r="E29" i="69"/>
  <c r="E66" i="69"/>
  <c r="E62" i="69"/>
  <c r="E54" i="69"/>
  <c r="E65" i="69"/>
  <c r="E55" i="69"/>
  <c r="E53" i="69"/>
  <c r="E58" i="69"/>
  <c r="E32" i="74" l="1"/>
  <c r="E72" i="73"/>
  <c r="E71" i="72"/>
  <c r="E72" i="72" s="1"/>
  <c r="E72" i="18"/>
  <c r="E74" i="74"/>
  <c r="E71" i="64"/>
  <c r="E72" i="71"/>
  <c r="E71" i="82"/>
  <c r="E73" i="83"/>
  <c r="E75" i="83" s="1"/>
  <c r="E73" i="74"/>
  <c r="E71" i="73"/>
  <c r="E70" i="68"/>
  <c r="E70" i="64"/>
  <c r="E73" i="69"/>
  <c r="E71" i="18"/>
  <c r="E74" i="69"/>
  <c r="E56" i="64"/>
  <c r="E38" i="73"/>
  <c r="E57" i="82"/>
  <c r="E73" i="82"/>
  <c r="D56" i="71"/>
  <c r="E56" i="71" s="1"/>
  <c r="D57" i="83"/>
  <c r="E57" i="83" s="1"/>
  <c r="D53" i="71"/>
  <c r="E53" i="71" s="1"/>
  <c r="D54" i="83"/>
  <c r="E54" i="83" s="1"/>
  <c r="E32" i="71"/>
  <c r="E41" i="71" s="1"/>
  <c r="E32" i="69"/>
  <c r="E41" i="69" s="1"/>
  <c r="E57" i="18"/>
  <c r="E37" i="68"/>
  <c r="E32" i="68"/>
  <c r="E57" i="73"/>
  <c r="E39" i="68"/>
  <c r="E34" i="72"/>
  <c r="E35" i="68"/>
  <c r="E39" i="64"/>
  <c r="E38" i="64"/>
  <c r="E37" i="73"/>
  <c r="E36" i="68"/>
  <c r="E34" i="68"/>
  <c r="E36" i="64"/>
  <c r="E35" i="64"/>
  <c r="E33" i="68"/>
  <c r="E37" i="64"/>
  <c r="E34" i="64"/>
  <c r="E34" i="18"/>
  <c r="E39" i="73"/>
  <c r="E35" i="73"/>
  <c r="E36" i="73"/>
  <c r="E33" i="73"/>
  <c r="E35" i="18"/>
  <c r="E38" i="18"/>
  <c r="E37" i="18"/>
  <c r="E33" i="64"/>
  <c r="E33" i="18"/>
  <c r="E36" i="18"/>
  <c r="E39" i="18"/>
  <c r="E34" i="73"/>
  <c r="E38" i="72"/>
  <c r="E39" i="72"/>
  <c r="E35" i="72"/>
  <c r="E32" i="72"/>
  <c r="E36" i="72"/>
  <c r="E37" i="72"/>
  <c r="E73" i="18"/>
  <c r="E74" i="71"/>
  <c r="E67" i="72"/>
  <c r="E75" i="69"/>
  <c r="E67" i="71"/>
  <c r="E68" i="71" s="1"/>
  <c r="E69" i="71" s="1"/>
  <c r="E68" i="74"/>
  <c r="E69" i="74" s="1"/>
  <c r="E70" i="74" s="1"/>
  <c r="E59" i="74"/>
  <c r="E34" i="74"/>
  <c r="E68" i="69"/>
  <c r="E69" i="69" s="1"/>
  <c r="E70" i="69" s="1"/>
  <c r="E59" i="69"/>
  <c r="E73" i="73"/>
  <c r="E67" i="73"/>
  <c r="E68" i="73" s="1"/>
  <c r="E72" i="68"/>
  <c r="E72" i="64" l="1"/>
  <c r="E76" i="82"/>
  <c r="E80" i="82" s="1"/>
  <c r="E78" i="82" s="1"/>
  <c r="E75" i="74"/>
  <c r="E58" i="71"/>
  <c r="E59" i="83"/>
  <c r="E78" i="83" s="1"/>
  <c r="E82" i="83" s="1"/>
  <c r="E80" i="83" s="1"/>
  <c r="E35" i="71"/>
  <c r="E37" i="74"/>
  <c r="E40" i="68"/>
  <c r="E47" i="68" s="1"/>
  <c r="E75" i="68" s="1"/>
  <c r="E79" i="68" s="1"/>
  <c r="E40" i="64"/>
  <c r="E47" i="64" s="1"/>
  <c r="E75" i="64" s="1"/>
  <c r="E79" i="64" s="1"/>
  <c r="E40" i="74"/>
  <c r="E40" i="18"/>
  <c r="E48" i="18" s="1"/>
  <c r="E76" i="18" s="1"/>
  <c r="E80" i="18" s="1"/>
  <c r="E37" i="71"/>
  <c r="E40" i="71"/>
  <c r="E39" i="71"/>
  <c r="E38" i="71"/>
  <c r="E40" i="73"/>
  <c r="E48" i="73" s="1"/>
  <c r="E76" i="73" s="1"/>
  <c r="E38" i="74"/>
  <c r="E40" i="72"/>
  <c r="E47" i="72" s="1"/>
  <c r="E75" i="72" s="1"/>
  <c r="E79" i="72" s="1"/>
  <c r="E77" i="72" s="1"/>
  <c r="E34" i="71"/>
  <c r="E39" i="74"/>
  <c r="E34" i="69"/>
  <c r="E38" i="69"/>
  <c r="E40" i="69"/>
  <c r="E37" i="69"/>
  <c r="E39" i="69"/>
  <c r="E36" i="69"/>
  <c r="E35" i="69"/>
  <c r="E41" i="74"/>
  <c r="E36" i="74"/>
  <c r="E35" i="74"/>
  <c r="E36" i="71"/>
  <c r="E79" i="82" l="1"/>
  <c r="E77" i="82"/>
  <c r="E81" i="82" s="1"/>
  <c r="E83" i="82" s="1"/>
  <c r="C11" i="81" s="1"/>
  <c r="E11" i="81" s="1"/>
  <c r="H11" i="81" s="1"/>
  <c r="I11" i="81" s="1"/>
  <c r="E79" i="83"/>
  <c r="E81" i="83"/>
  <c r="E42" i="71"/>
  <c r="E49" i="71" s="1"/>
  <c r="E77" i="71" s="1"/>
  <c r="E81" i="71" s="1"/>
  <c r="E42" i="74"/>
  <c r="E50" i="74" s="1"/>
  <c r="E78" i="74" s="1"/>
  <c r="E82" i="74" s="1"/>
  <c r="E81" i="74" s="1"/>
  <c r="E42" i="69"/>
  <c r="E50" i="69" s="1"/>
  <c r="E78" i="69" s="1"/>
  <c r="E80" i="73"/>
  <c r="E78" i="73" s="1"/>
  <c r="E76" i="64"/>
  <c r="E79" i="18"/>
  <c r="E78" i="72"/>
  <c r="E78" i="18"/>
  <c r="E77" i="64"/>
  <c r="E77" i="18"/>
  <c r="E78" i="68"/>
  <c r="E78" i="64"/>
  <c r="E76" i="72"/>
  <c r="E85" i="82" l="1"/>
  <c r="E83" i="83"/>
  <c r="E85" i="83" s="1"/>
  <c r="D87" i="82"/>
  <c r="E87" i="82" s="1"/>
  <c r="E80" i="74"/>
  <c r="E79" i="74"/>
  <c r="E80" i="72"/>
  <c r="E82" i="72" s="1"/>
  <c r="C4" i="34" s="1"/>
  <c r="E77" i="68"/>
  <c r="E82" i="69"/>
  <c r="E80" i="69" s="1"/>
  <c r="E77" i="73"/>
  <c r="E81" i="18"/>
  <c r="E83" i="18" s="1"/>
  <c r="C6" i="34" s="1"/>
  <c r="E79" i="73"/>
  <c r="E80" i="64"/>
  <c r="E82" i="64" s="1"/>
  <c r="E80" i="71"/>
  <c r="E79" i="71"/>
  <c r="E78" i="71"/>
  <c r="E76" i="68"/>
  <c r="C6" i="81" l="1"/>
  <c r="E6" i="81" s="1"/>
  <c r="H6" i="81" s="1"/>
  <c r="C13" i="81"/>
  <c r="E13" i="81" s="1"/>
  <c r="H13" i="81" s="1"/>
  <c r="I13" i="81" s="1"/>
  <c r="E87" i="83"/>
  <c r="D89" i="83"/>
  <c r="E89" i="83" s="1"/>
  <c r="D86" i="72"/>
  <c r="E86" i="72" s="1"/>
  <c r="C4" i="81"/>
  <c r="E4" i="81" s="1"/>
  <c r="H4" i="81" s="1"/>
  <c r="I4" i="81" s="1"/>
  <c r="D86" i="64"/>
  <c r="E86" i="64" s="1"/>
  <c r="C10" i="81"/>
  <c r="E10" i="81" s="1"/>
  <c r="H10" i="81" s="1"/>
  <c r="E83" i="74"/>
  <c r="E85" i="74" s="1"/>
  <c r="C9" i="34" s="1"/>
  <c r="E84" i="72"/>
  <c r="E6" i="34"/>
  <c r="H6" i="34" s="1"/>
  <c r="J6" i="34" s="1"/>
  <c r="D87" i="18"/>
  <c r="E87" i="18" s="1"/>
  <c r="E85" i="18"/>
  <c r="E81" i="73"/>
  <c r="E83" i="73" s="1"/>
  <c r="C7" i="34" s="1"/>
  <c r="E80" i="68"/>
  <c r="E82" i="68" s="1"/>
  <c r="C5" i="34" s="1"/>
  <c r="E79" i="69"/>
  <c r="E81" i="69"/>
  <c r="E84" i="64"/>
  <c r="C10" i="34" s="1"/>
  <c r="E82" i="71"/>
  <c r="E84" i="71" s="1"/>
  <c r="C7" i="81" l="1"/>
  <c r="E7" i="81" s="1"/>
  <c r="H7" i="81" s="1"/>
  <c r="I7" i="81" s="1"/>
  <c r="I6" i="81"/>
  <c r="J6" i="81"/>
  <c r="D86" i="68"/>
  <c r="E86" i="68" s="1"/>
  <c r="C5" i="81"/>
  <c r="E5" i="81" s="1"/>
  <c r="H5" i="81" s="1"/>
  <c r="E87" i="74"/>
  <c r="C9" i="81"/>
  <c r="E9" i="81" s="1"/>
  <c r="H9" i="81" s="1"/>
  <c r="I9" i="81" s="1"/>
  <c r="I10" i="81"/>
  <c r="E86" i="71"/>
  <c r="C11" i="34" s="1"/>
  <c r="C12" i="81"/>
  <c r="E12" i="81" s="1"/>
  <c r="H12" i="81" s="1"/>
  <c r="I12" i="81" s="1"/>
  <c r="D89" i="74"/>
  <c r="E89" i="74" s="1"/>
  <c r="E4" i="34"/>
  <c r="H4" i="34" s="1"/>
  <c r="E10" i="34"/>
  <c r="H10" i="34" s="1"/>
  <c r="I6" i="34"/>
  <c r="E84" i="68"/>
  <c r="E83" i="69"/>
  <c r="E85" i="69" s="1"/>
  <c r="C8" i="34" s="1"/>
  <c r="D87" i="73"/>
  <c r="E87" i="73" s="1"/>
  <c r="E85" i="73"/>
  <c r="D88" i="71"/>
  <c r="E88" i="71" s="1"/>
  <c r="C8" i="81" l="1"/>
  <c r="E8" i="81" s="1"/>
  <c r="H8" i="81" s="1"/>
  <c r="I8" i="81" s="1"/>
  <c r="I10" i="34"/>
  <c r="I5" i="81"/>
  <c r="J5" i="81"/>
  <c r="I4" i="34"/>
  <c r="E9" i="34"/>
  <c r="H9" i="34" s="1"/>
  <c r="I9" i="34" s="1"/>
  <c r="E5" i="34"/>
  <c r="E11" i="34"/>
  <c r="H11" i="34" s="1"/>
  <c r="I11" i="34" s="1"/>
  <c r="E7" i="34"/>
  <c r="H7" i="34" s="1"/>
  <c r="I7" i="34" s="1"/>
  <c r="D89" i="69"/>
  <c r="E89" i="69" s="1"/>
  <c r="E87" i="69"/>
  <c r="I14" i="81" l="1"/>
  <c r="D21" i="81" s="1"/>
  <c r="H14" i="81"/>
  <c r="P7" i="81" s="1"/>
  <c r="P8" i="81" s="1"/>
  <c r="H5" i="34"/>
  <c r="E8" i="34"/>
  <c r="H8" i="34" s="1"/>
  <c r="I8" i="34" s="1"/>
  <c r="E23" i="81" l="1"/>
  <c r="Q7" i="81"/>
  <c r="Q8" i="81" s="1"/>
  <c r="J5" i="34"/>
  <c r="H12" i="34"/>
  <c r="I5" i="34"/>
  <c r="I12" i="34" s="1"/>
  <c r="V6" i="34" l="1"/>
  <c r="V7" i="34" s="1"/>
  <c r="W6" i="34"/>
  <c r="W7" i="34" s="1"/>
  <c r="E21" i="34"/>
  <c r="X6" i="34" s="1"/>
  <c r="X7" i="34" s="1"/>
  <c r="P7" i="34"/>
  <c r="P8" i="34" s="1"/>
  <c r="U6" i="34"/>
  <c r="U7" i="34" s="1"/>
  <c r="Q7" i="34"/>
  <c r="Q8" i="34" s="1"/>
  <c r="D19" i="34"/>
</calcChain>
</file>

<file path=xl/comments1.xml><?xml version="1.0" encoding="utf-8"?>
<comments xmlns="http://schemas.openxmlformats.org/spreadsheetml/2006/main">
  <authors>
    <author>Fábio Koichi Freitas Nozaki - Oficial de Chancelaria</author>
    <author>Administrador</author>
  </authors>
  <commentList>
    <comment ref="C38" authorId="0" shapeId="0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I42" authorId="1" shapeId="0">
      <text>
        <r>
          <rPr>
            <b/>
            <sz val="9"/>
            <color indexed="81"/>
            <rFont val="Segoe UI"/>
            <family val="2"/>
          </rPr>
          <t>Administrador:</t>
        </r>
        <r>
          <rPr>
            <sz val="9"/>
            <color indexed="81"/>
            <rFont val="Segoe UI"/>
            <family val="2"/>
          </rPr>
          <t xml:space="preserve">
Valor do Vale Alimentação R$ 39,29, cooparticipação do trabalhador 2% do beneficio.</t>
        </r>
      </text>
    </comment>
    <comment ref="B43" authorId="0" shapeId="0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0" authorId="0" shapeId="0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1" authorId="0" shapeId="0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3" authorId="0" shapeId="0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78" authorId="0" shapeId="0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10.xml><?xml version="1.0" encoding="utf-8"?>
<comments xmlns="http://schemas.openxmlformats.org/spreadsheetml/2006/main">
  <authors>
    <author>Fábio Koichi Freitas Nozaki - Oficial de Chancelaria</author>
    <author>Administrador</author>
  </authors>
  <commentList>
    <comment ref="C40" authorId="0" shapeId="0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I43" authorId="1" shapeId="0">
      <text>
        <r>
          <rPr>
            <b/>
            <sz val="9"/>
            <color indexed="81"/>
            <rFont val="Segoe UI"/>
            <family val="2"/>
          </rPr>
          <t>Administrador:</t>
        </r>
        <r>
          <rPr>
            <sz val="9"/>
            <color indexed="81"/>
            <rFont val="Segoe UI"/>
            <family val="2"/>
          </rPr>
          <t xml:space="preserve">
Valor do Vale Alimentação R$ 39,29, cooparticipação do trabalhador 2% do beneficio.</t>
        </r>
      </text>
    </comment>
    <comment ref="B45" authorId="0" shapeId="0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2" authorId="0" shapeId="0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3" authorId="0" shapeId="0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4" authorId="0" shapeId="0">
      <text>
        <r>
          <rPr>
            <sz val="9"/>
            <color indexed="81"/>
            <rFont val="Segoe UI"/>
            <family val="2"/>
          </rPr>
          <t>fgts*(multa fgts+CS fgts)*(1+13º+férias e adic férias)</t>
        </r>
      </text>
    </comment>
    <comment ref="C55" authorId="0" shapeId="0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57" authorId="0" shapeId="0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0" authorId="0" shapeId="0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11.xml><?xml version="1.0" encoding="utf-8"?>
<comments xmlns="http://schemas.openxmlformats.org/spreadsheetml/2006/main">
  <authors>
    <author>Comercial Grupo Vippim</author>
  </authors>
  <commentList>
    <comment ref="C4" authorId="0" shapeId="0">
      <text>
        <r>
          <rPr>
            <b/>
            <sz val="9"/>
            <color indexed="81"/>
            <rFont val="Segoe UI"/>
            <family val="2"/>
          </rPr>
          <t>Comercial Grupo Vippim:</t>
        </r>
        <r>
          <rPr>
            <sz val="9"/>
            <color indexed="81"/>
            <rFont val="Segoe UI"/>
            <family val="2"/>
          </rPr>
          <t xml:space="preserve">
A última era 60 meses</t>
        </r>
      </text>
    </comment>
    <comment ref="C5" authorId="0" shapeId="0">
      <text>
        <r>
          <rPr>
            <b/>
            <sz val="9"/>
            <color indexed="81"/>
            <rFont val="Segoe UI"/>
            <family val="2"/>
          </rPr>
          <t>Comercial Grupo Vippim:</t>
        </r>
        <r>
          <rPr>
            <sz val="9"/>
            <color indexed="81"/>
            <rFont val="Segoe UI"/>
            <family val="2"/>
          </rPr>
          <t xml:space="preserve">
A última era 12 meses</t>
        </r>
      </text>
    </comment>
  </commentList>
</comments>
</file>

<file path=xl/comments2.xml><?xml version="1.0" encoding="utf-8"?>
<comments xmlns="http://schemas.openxmlformats.org/spreadsheetml/2006/main">
  <authors>
    <author>Fábio Koichi Freitas Nozaki - Oficial de Chancelaria</author>
    <author>Administrador</author>
  </authors>
  <commentList>
    <comment ref="C38" authorId="0" shapeId="0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I42" authorId="1" shapeId="0">
      <text>
        <r>
          <rPr>
            <b/>
            <sz val="9"/>
            <color indexed="81"/>
            <rFont val="Segoe UI"/>
            <family val="2"/>
          </rPr>
          <t>Administrador:</t>
        </r>
        <r>
          <rPr>
            <sz val="9"/>
            <color indexed="81"/>
            <rFont val="Segoe UI"/>
            <family val="2"/>
          </rPr>
          <t xml:space="preserve">
Valor do Vale Alimentação R$ 39,29, cooparticipação do trabalhador 2% do beneficio.</t>
        </r>
      </text>
    </comment>
    <comment ref="B43" authorId="0" shapeId="0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0" authorId="0" shapeId="0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1" authorId="0" shapeId="0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3" authorId="0" shapeId="0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78" authorId="0" shapeId="0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3.xml><?xml version="1.0" encoding="utf-8"?>
<comments xmlns="http://schemas.openxmlformats.org/spreadsheetml/2006/main">
  <authors>
    <author>Fábio Koichi Freitas Nozaki - Oficial de Chancelaria</author>
    <author>Administrador</author>
  </authors>
  <commentList>
    <comment ref="C38" authorId="0" shapeId="0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I42" authorId="1" shapeId="0">
      <text>
        <r>
          <rPr>
            <b/>
            <sz val="9"/>
            <color indexed="81"/>
            <rFont val="Segoe UI"/>
            <family val="2"/>
          </rPr>
          <t>Administrador:</t>
        </r>
        <r>
          <rPr>
            <sz val="9"/>
            <color indexed="81"/>
            <rFont val="Segoe UI"/>
            <family val="2"/>
          </rPr>
          <t xml:space="preserve">
Valor do Vale Alimentação R$ 39,29, cooparticipação do trabalhador 2% do beneficio.</t>
        </r>
      </text>
    </comment>
    <comment ref="B43" authorId="0" shapeId="0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1" authorId="0" shapeId="0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3" authorId="0" shapeId="0">
      <text>
        <r>
          <rPr>
            <sz val="9"/>
            <color indexed="81"/>
            <rFont val="Segoe UI"/>
            <family val="2"/>
          </rPr>
          <t>fgts*(multa fgts+CS fgts)*(1+13º+férias e adic férias)</t>
        </r>
      </text>
    </comment>
    <comment ref="C54" authorId="0" shapeId="0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79" authorId="0" shapeId="0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4.xml><?xml version="1.0" encoding="utf-8"?>
<comments xmlns="http://schemas.openxmlformats.org/spreadsheetml/2006/main">
  <authors>
    <author>Fábio Koichi Freitas Nozaki - Oficial de Chancelaria</author>
    <author>Administrador</author>
  </authors>
  <commentList>
    <comment ref="C38" authorId="0" shapeId="0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I42" authorId="1" shapeId="0">
      <text>
        <r>
          <rPr>
            <b/>
            <sz val="9"/>
            <color indexed="81"/>
            <rFont val="Segoe UI"/>
            <family val="2"/>
          </rPr>
          <t>Administrador:</t>
        </r>
        <r>
          <rPr>
            <sz val="9"/>
            <color indexed="81"/>
            <rFont val="Segoe UI"/>
            <family val="2"/>
          </rPr>
          <t xml:space="preserve">
Valor do Vale Alimentação R$ 39,29, cooparticipação do trabalhador 2% do beneficio.</t>
        </r>
      </text>
    </comment>
    <comment ref="B43" authorId="0" shapeId="0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1" authorId="0" shapeId="0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2" authorId="0" shapeId="0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4" authorId="0" shapeId="0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79" authorId="0" shapeId="0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5.xml><?xml version="1.0" encoding="utf-8"?>
<comments xmlns="http://schemas.openxmlformats.org/spreadsheetml/2006/main">
  <authors>
    <author>Fábio Koichi Freitas Nozaki - Oficial de Chancelaria</author>
    <author>Administrador</author>
    <author>Comercial Grupo Vippim</author>
  </authors>
  <commentList>
    <comment ref="C40" authorId="0" shapeId="0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I44" authorId="1" shapeId="0">
      <text>
        <r>
          <rPr>
            <b/>
            <sz val="9"/>
            <color indexed="81"/>
            <rFont val="Segoe UI"/>
            <family val="2"/>
          </rPr>
          <t>Administrador:</t>
        </r>
        <r>
          <rPr>
            <sz val="9"/>
            <color indexed="81"/>
            <rFont val="Segoe UI"/>
            <family val="2"/>
          </rPr>
          <t xml:space="preserve">
Valor do Vale Alimentação R$ 39,29, cooparticipação do trabalhador 2% do beneficio.</t>
        </r>
      </text>
    </comment>
    <comment ref="B45" authorId="0" shapeId="0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3" authorId="0" shapeId="0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4" authorId="0" shapeId="0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D55" authorId="2" shapeId="0">
      <text>
        <r>
          <rPr>
            <b/>
            <sz val="9"/>
            <color indexed="81"/>
            <rFont val="Segoe UI"/>
            <family val="2"/>
          </rPr>
          <t>Comercial Grupo Vippim:</t>
        </r>
        <r>
          <rPr>
            <sz val="9"/>
            <color indexed="81"/>
            <rFont val="Segoe UI"/>
            <family val="2"/>
          </rPr>
          <t xml:space="preserve">
a última era 3,44%</t>
        </r>
      </text>
    </comment>
    <comment ref="C56" authorId="0" shapeId="0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D58" authorId="2" shapeId="0">
      <text>
        <r>
          <rPr>
            <b/>
            <sz val="9"/>
            <color indexed="81"/>
            <rFont val="Segoe UI"/>
            <family val="2"/>
          </rPr>
          <t>Comercial Grupo Vippim:</t>
        </r>
        <r>
          <rPr>
            <sz val="9"/>
            <color indexed="81"/>
            <rFont val="Segoe UI"/>
            <family val="2"/>
          </rPr>
          <t xml:space="preserve">
a última era 0,06%</t>
        </r>
      </text>
    </comment>
    <comment ref="D62" authorId="2" shapeId="0">
      <text>
        <r>
          <rPr>
            <b/>
            <sz val="9"/>
            <color indexed="81"/>
            <rFont val="Segoe UI"/>
            <family val="2"/>
          </rPr>
          <t>Comercial Grupo Vippim:</t>
        </r>
        <r>
          <rPr>
            <sz val="9"/>
            <color indexed="81"/>
            <rFont val="Segoe UI"/>
            <family val="2"/>
          </rPr>
          <t xml:space="preserve">
a última era 0%
</t>
        </r>
      </text>
    </comment>
    <comment ref="E74" authorId="2" shapeId="0">
      <text>
        <r>
          <rPr>
            <b/>
            <sz val="9"/>
            <color indexed="81"/>
            <rFont val="Segoe UI"/>
            <family val="2"/>
          </rPr>
          <t>Comercial Grupo Vippim:</t>
        </r>
        <r>
          <rPr>
            <sz val="9"/>
            <color indexed="81"/>
            <rFont val="Segoe UI"/>
            <family val="2"/>
          </rPr>
          <t xml:space="preserve">
a última era R$ 6,32</t>
        </r>
      </text>
    </comment>
    <comment ref="C81" authorId="0" shapeId="0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6.xml><?xml version="1.0" encoding="utf-8"?>
<comments xmlns="http://schemas.openxmlformats.org/spreadsheetml/2006/main">
  <authors>
    <author>Fábio Koichi Freitas Nozaki - Oficial de Chancelaria</author>
    <author>Administrador</author>
    <author>Comercial Grupo Vippim</author>
  </authors>
  <commentList>
    <comment ref="C40" authorId="0" shapeId="0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I44" authorId="1" shapeId="0">
      <text>
        <r>
          <rPr>
            <b/>
            <sz val="9"/>
            <color indexed="81"/>
            <rFont val="Segoe UI"/>
            <family val="2"/>
          </rPr>
          <t>Administrador:</t>
        </r>
        <r>
          <rPr>
            <sz val="9"/>
            <color indexed="81"/>
            <rFont val="Segoe UI"/>
            <family val="2"/>
          </rPr>
          <t xml:space="preserve">
Valor do Vale Alimentação R$ 39,29, cooparticipação do trabalhador 2% do beneficio.</t>
        </r>
      </text>
    </comment>
    <comment ref="B45" authorId="0" shapeId="0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3" authorId="0" shapeId="0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6" authorId="0" shapeId="0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E74" authorId="2" shapeId="0">
      <text>
        <r>
          <rPr>
            <b/>
            <sz val="9"/>
            <color indexed="81"/>
            <rFont val="Segoe UI"/>
            <family val="2"/>
          </rPr>
          <t>Comercial Grupo Vippim:</t>
        </r>
        <r>
          <rPr>
            <sz val="9"/>
            <color indexed="81"/>
            <rFont val="Segoe UI"/>
            <family val="2"/>
          </rPr>
          <t xml:space="preserve">
A última era R$ 6,32</t>
        </r>
      </text>
    </comment>
    <comment ref="C81" authorId="0" shapeId="0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7.xml><?xml version="1.0" encoding="utf-8"?>
<comments xmlns="http://schemas.openxmlformats.org/spreadsheetml/2006/main">
  <authors>
    <author>Fábio Koichi Freitas Nozaki - Oficial de Chancelaria</author>
    <author>Administrador</author>
  </authors>
  <commentList>
    <comment ref="C39" authorId="0" shapeId="0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I42" authorId="1" shapeId="0">
      <text>
        <r>
          <rPr>
            <b/>
            <sz val="9"/>
            <color indexed="81"/>
            <rFont val="Segoe UI"/>
            <family val="2"/>
          </rPr>
          <t>Administrador:</t>
        </r>
        <r>
          <rPr>
            <sz val="9"/>
            <color indexed="81"/>
            <rFont val="Segoe UI"/>
            <family val="2"/>
          </rPr>
          <t xml:space="preserve">
Valor do Vale Alimentação R$ 39,29, cooparticipação do trabalhador 2% do beneficio.</t>
        </r>
      </text>
    </comment>
    <comment ref="B44" authorId="0" shapeId="0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1" authorId="0" shapeId="0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2" authorId="0" shapeId="0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4" authorId="0" shapeId="0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79" authorId="0" shapeId="0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8.xml><?xml version="1.0" encoding="utf-8"?>
<comments xmlns="http://schemas.openxmlformats.org/spreadsheetml/2006/main">
  <authors>
    <author>Fábio Koichi Freitas Nozaki - Oficial de Chancelaria</author>
    <author>Administrador</author>
  </authors>
  <commentList>
    <comment ref="C38" authorId="0" shapeId="0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I42" authorId="1" shapeId="0">
      <text>
        <r>
          <rPr>
            <b/>
            <sz val="9"/>
            <color indexed="81"/>
            <rFont val="Segoe UI"/>
            <family val="2"/>
          </rPr>
          <t>Administrador:</t>
        </r>
        <r>
          <rPr>
            <sz val="9"/>
            <color indexed="81"/>
            <rFont val="Segoe UI"/>
            <family val="2"/>
          </rPr>
          <t xml:space="preserve">
Valor do Vale Alimentação R$ 39,29, cooparticipação do trabalhador 2% do beneficio.</t>
        </r>
      </text>
    </comment>
    <comment ref="B43" authorId="0" shapeId="0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0" authorId="0" shapeId="0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1" authorId="0" shapeId="0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3" authorId="0" shapeId="0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78" authorId="0" shapeId="0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comments9.xml><?xml version="1.0" encoding="utf-8"?>
<comments xmlns="http://schemas.openxmlformats.org/spreadsheetml/2006/main">
  <authors>
    <author>Fábio Koichi Freitas Nozaki - Oficial de Chancelaria</author>
    <author>Administrador</author>
  </authors>
  <commentList>
    <comment ref="C41" authorId="0" shapeId="0">
      <text>
        <r>
          <rPr>
            <sz val="9"/>
            <color indexed="81"/>
            <rFont val="Segoe UI"/>
            <family val="2"/>
          </rPr>
          <t>(RAT 1%, 2%, 3%) * FAP (0,5-2); max 6% (verificar GFIP)</t>
        </r>
      </text>
    </comment>
    <comment ref="I44" authorId="1" shapeId="0">
      <text>
        <r>
          <rPr>
            <b/>
            <sz val="9"/>
            <color indexed="81"/>
            <rFont val="Segoe UI"/>
            <family val="2"/>
          </rPr>
          <t>Administrador:</t>
        </r>
        <r>
          <rPr>
            <sz val="9"/>
            <color indexed="81"/>
            <rFont val="Segoe UI"/>
            <family val="2"/>
          </rPr>
          <t xml:space="preserve">
Valor do Vale Alimentação R$ 39,29, cooparticipação do trabalhador 2% do beneficio.</t>
        </r>
      </text>
    </comment>
    <comment ref="B46" authorId="0" shapeId="0">
      <text>
        <r>
          <rPr>
            <sz val="9"/>
            <color indexed="81"/>
            <rFont val="Segoe UI"/>
            <family val="2"/>
          </rPr>
          <t>2*valor da passagem*dias trabalhados mês- (salário-base*6%)</t>
        </r>
      </text>
    </comment>
    <comment ref="C53" authorId="0" shapeId="0">
      <text>
        <r>
          <rPr>
            <sz val="9"/>
            <color indexed="81"/>
            <rFont val="Segoe UI"/>
            <family val="2"/>
          </rPr>
          <t>5,55% (TCU)*1/12 - máx 0,46%</t>
        </r>
      </text>
    </comment>
    <comment ref="C54" authorId="0" shapeId="0">
      <text>
        <r>
          <rPr>
            <sz val="9"/>
            <color indexed="81"/>
            <rFont val="Segoe UI"/>
            <family val="2"/>
          </rPr>
          <t>fgts (8,00%)* aviso prévio indenizado (0,46%)</t>
        </r>
      </text>
    </comment>
    <comment ref="C55" authorId="0" shapeId="0">
      <text>
        <r>
          <rPr>
            <sz val="9"/>
            <color indexed="81"/>
            <rFont val="Segoe UI"/>
            <family val="2"/>
          </rPr>
          <t>fgts*(multa fgts+CS fgts)*(1+13º+férias e adic férias)</t>
        </r>
      </text>
    </comment>
    <comment ref="C56" authorId="0" shapeId="0">
      <text>
        <r>
          <rPr>
            <sz val="9"/>
            <color indexed="81"/>
            <rFont val="Segoe UI"/>
            <family val="2"/>
          </rPr>
          <t>(1/30 dias*7)/12</t>
        </r>
      </text>
    </comment>
    <comment ref="C58" authorId="0" shapeId="0">
      <text>
        <r>
          <rPr>
            <sz val="9"/>
            <color indexed="81"/>
            <rFont val="Segoe UI"/>
            <family val="2"/>
          </rPr>
          <t>fgts*(multa fgts+CS fgts)* 0,71%</t>
        </r>
      </text>
    </comment>
    <comment ref="C81" authorId="0" shapeId="0">
      <text>
        <r>
          <rPr>
            <sz val="9"/>
            <color indexed="81"/>
            <rFont val="Segoe UI"/>
            <family val="2"/>
          </rPr>
          <t>min 2% max 5% - optantes simples, consultar tabela</t>
        </r>
      </text>
    </comment>
  </commentList>
</comments>
</file>

<file path=xl/sharedStrings.xml><?xml version="1.0" encoding="utf-8"?>
<sst xmlns="http://schemas.openxmlformats.org/spreadsheetml/2006/main" count="1336" uniqueCount="304">
  <si>
    <t>Lucro real</t>
  </si>
  <si>
    <t>Lucro presumido</t>
  </si>
  <si>
    <t>Tipo de serviço</t>
  </si>
  <si>
    <t>Unidade de medida</t>
  </si>
  <si>
    <t>Quantidade a contratar</t>
  </si>
  <si>
    <t>Módulo 1 - Composição da Remuneração</t>
  </si>
  <si>
    <t>Salário-base do profissional</t>
  </si>
  <si>
    <t>TOTAL - MÓDULO 1</t>
  </si>
  <si>
    <t>Módulo 2 - Encargos e Benefícios Anuais, Mensais, Diários</t>
  </si>
  <si>
    <t>Submódulo 2.1 - 13º salário, férias e adicional de férias</t>
  </si>
  <si>
    <t>13º salário</t>
  </si>
  <si>
    <t>Total Submódulo 2.1</t>
  </si>
  <si>
    <t>Submódulo 2.2 - GPS, FGTS e Outras Contribuições</t>
  </si>
  <si>
    <t>INSS</t>
  </si>
  <si>
    <t>SESI ou SESC</t>
  </si>
  <si>
    <t>SENAI ou SENAC</t>
  </si>
  <si>
    <t>INCRA</t>
  </si>
  <si>
    <t>Salário educação</t>
  </si>
  <si>
    <t>FGTS</t>
  </si>
  <si>
    <t>RAT/FAP</t>
  </si>
  <si>
    <t>SEBRAE</t>
  </si>
  <si>
    <t>Total Submódulo 2.2</t>
  </si>
  <si>
    <t xml:space="preserve">Submódulo 2.3 - Benefícios Mensais e Diários </t>
  </si>
  <si>
    <t>dias trabalhados mês</t>
  </si>
  <si>
    <t>Auxílio Alimentação</t>
  </si>
  <si>
    <t>Transporte</t>
  </si>
  <si>
    <t>valor da passagem</t>
  </si>
  <si>
    <t>Total Submódulo 2.3</t>
  </si>
  <si>
    <t>TOTAL - MÓDULO 2</t>
  </si>
  <si>
    <t>Módulo 3 - Provisão para rescisão</t>
  </si>
  <si>
    <t>Aviso Prévio Indenizado</t>
  </si>
  <si>
    <t>Incidência do FGTS sobre Aviso Prévio Indenizado</t>
  </si>
  <si>
    <t>Multa do FGTS e Contribuição Social sobre Aviso Prévio Indenizado</t>
  </si>
  <si>
    <t>Aviso Prévio Trabalhado</t>
  </si>
  <si>
    <t>Incidência dos encargos do submódulo 2.2 sobre Aviso Prévio Trabalhado</t>
  </si>
  <si>
    <t>TOTAL - MÓDULO 3</t>
  </si>
  <si>
    <t>Módulo 4 - Custo da Reposição do funcionário ausente</t>
  </si>
  <si>
    <t>Férias</t>
  </si>
  <si>
    <t>Ausências Legais</t>
  </si>
  <si>
    <t>dias ausentes</t>
  </si>
  <si>
    <t>Licença Paternidade</t>
  </si>
  <si>
    <t xml:space="preserve">incidência pais </t>
  </si>
  <si>
    <t>Ausência por acidente de trabalho</t>
  </si>
  <si>
    <t>Afastamento maternidade</t>
  </si>
  <si>
    <t>inicidência maternidade</t>
  </si>
  <si>
    <t>Outros</t>
  </si>
  <si>
    <t>-</t>
  </si>
  <si>
    <t>Subtotal</t>
  </si>
  <si>
    <t>Incidência submódulo 2.2</t>
  </si>
  <si>
    <t>TOTAL - MÓDULO 4</t>
  </si>
  <si>
    <t>Módulo 5 - Insumos Diversos</t>
  </si>
  <si>
    <t>Equipamentos</t>
  </si>
  <si>
    <t>TOTAL - MÓDULO 5</t>
  </si>
  <si>
    <t>Módulo 6 - Custos Indiretos, Tributos e Lucro</t>
  </si>
  <si>
    <t>Custos Indiretos</t>
  </si>
  <si>
    <t>COFINS</t>
  </si>
  <si>
    <t>PIS</t>
  </si>
  <si>
    <t>ISS</t>
  </si>
  <si>
    <t>Lucro</t>
  </si>
  <si>
    <t>TOTAL - MÓDULO 6</t>
  </si>
  <si>
    <t>PREÇO PARA UM PROFISSIONAL</t>
  </si>
  <si>
    <t>PREÇO MENSAL TOTAL</t>
  </si>
  <si>
    <t>Fator K</t>
  </si>
  <si>
    <t>Discriminação dos Serviços</t>
  </si>
  <si>
    <t>Regime de Tributação</t>
  </si>
  <si>
    <t>Identificação do Serviço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</si>
  <si>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</si>
  <si>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</si>
  <si>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</si>
  <si>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</si>
  <si>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Módulos</t>
  </si>
  <si>
    <t>incidência aviso ind.</t>
  </si>
  <si>
    <t>vale-aliment.</t>
  </si>
  <si>
    <t>incid. acidentes</t>
  </si>
  <si>
    <t>pessoal remanescente após aviso prévio trab.</t>
  </si>
  <si>
    <t xml:space="preserve">   A - Data da apresentação da proposta</t>
  </si>
  <si>
    <t xml:space="preserve">   B - Município/UF</t>
  </si>
  <si>
    <t xml:space="preserve">   C - Ano do Acordo, Convenção Coletiva ou Sentença Normativa em Dissídio Coletivo</t>
  </si>
  <si>
    <t xml:space="preserve">   D - Número de meses de execução contratual:</t>
  </si>
  <si>
    <t>Postos</t>
  </si>
  <si>
    <t>Custo total mensal</t>
  </si>
  <si>
    <t>Total postos de trabalho</t>
  </si>
  <si>
    <t>QUADRO DEMONSTRATIVO DO VALOR GLOBAL DA PROPOSTA</t>
  </si>
  <si>
    <t>Brasília/DF</t>
  </si>
  <si>
    <t>PLANILHA DE CUSTOS E FORMAÇÃO DE PREÇOS UNITÁRIOS</t>
  </si>
  <si>
    <t>44h</t>
  </si>
  <si>
    <t>Motorista de Carro Pesado (12 x 36 horas noturnas)</t>
  </si>
  <si>
    <t>12x36N</t>
  </si>
  <si>
    <t>12x36D</t>
  </si>
  <si>
    <t>Uniformes</t>
  </si>
  <si>
    <t>Quantidade de Postos</t>
  </si>
  <si>
    <t>Custo total por Posto</t>
  </si>
  <si>
    <t>Custo por empregado</t>
  </si>
  <si>
    <t>Quantidade de Empregados por Posto</t>
  </si>
  <si>
    <t>EMPREGADO</t>
  </si>
  <si>
    <t>Custo total - 12M</t>
  </si>
  <si>
    <t>Quantidade</t>
  </si>
  <si>
    <t>Discriminação dos Materiais</t>
  </si>
  <si>
    <t>Valor Unitário</t>
  </si>
  <si>
    <t>Valor Total</t>
  </si>
  <si>
    <t>Depreciação mensal</t>
  </si>
  <si>
    <t>Durabilidade (meses)</t>
  </si>
  <si>
    <t>Total</t>
  </si>
  <si>
    <t>Discriminação dos Equipamentos</t>
  </si>
  <si>
    <t>Encarregado</t>
  </si>
  <si>
    <t>Serviço de Vigilância Desarmada 44h de 2º a 6 feira</t>
  </si>
  <si>
    <t>Serviço de Vigilância Desarmada - Diurna 12 x36 hs</t>
  </si>
  <si>
    <t>Serviço de Vigilância Desarmada - Noturna 12 x36 hs</t>
  </si>
  <si>
    <t>Serviço de Vigilância Armada - Diurna 12 x36 hs</t>
  </si>
  <si>
    <t>Serviço de Vigilância Armada - Noturna 12 x36 hs</t>
  </si>
  <si>
    <t>Vigilância Desarmada 2° a 6° feira (44 h semanais)</t>
  </si>
  <si>
    <t>Adicional de Periculosidade</t>
  </si>
  <si>
    <t>SINDESV-DF</t>
  </si>
  <si>
    <t>Vigilância Desarmada 12x36 Diurno</t>
  </si>
  <si>
    <t>Vigilância Desarmada 12x36 Noturno</t>
  </si>
  <si>
    <t>Salario + A.Peric</t>
  </si>
  <si>
    <t>Horas/trabalho</t>
  </si>
  <si>
    <t>% Ad noturno</t>
  </si>
  <si>
    <t xml:space="preserve"> 1 h/noturna =</t>
  </si>
  <si>
    <t>horas not. Por dia</t>
  </si>
  <si>
    <t>dias trabalhado no mês</t>
  </si>
  <si>
    <t>Calculo</t>
  </si>
  <si>
    <t>Vigilância Armada 12x36 Diurno</t>
  </si>
  <si>
    <t>Adicional Noturno</t>
  </si>
  <si>
    <t>Quantidade de Profissionais</t>
  </si>
  <si>
    <t>Total de eventos por ano</t>
  </si>
  <si>
    <t>Valor da diária</t>
  </si>
  <si>
    <t>Valor total anual</t>
  </si>
  <si>
    <t>VALOR TOTAL DA CONTRATAÇÃO</t>
  </si>
  <si>
    <t>Adicional de Hora Noturna Reduzida</t>
  </si>
  <si>
    <t>Custo estimado - Por demanda</t>
  </si>
  <si>
    <t>Custo estimado - Postos de trabalho</t>
  </si>
  <si>
    <t>Quadro Resumo - Valor total da contratação</t>
  </si>
  <si>
    <t>IITEM 1 - SERVIÇOS DEDICAÇÃO EXCLUSIVA DE MÃO-DE-OBRA</t>
  </si>
  <si>
    <t>Número de vigilantes por evento</t>
  </si>
  <si>
    <t>Equipamento - Vigilante armado</t>
  </si>
  <si>
    <t>Equipamento - Vigilante trânsito</t>
  </si>
  <si>
    <t>Equipamento - Vigilante noturno</t>
  </si>
  <si>
    <t>Colete balístico</t>
  </si>
  <si>
    <t>Capa para colete</t>
  </si>
  <si>
    <t xml:space="preserve">Munição </t>
  </si>
  <si>
    <t>coldre</t>
  </si>
  <si>
    <t xml:space="preserve">Revólver 38 </t>
  </si>
  <si>
    <t>Cofre</t>
  </si>
  <si>
    <t>Trabalhadores por posto</t>
  </si>
  <si>
    <t>Valor Rateado</t>
  </si>
  <si>
    <t>Tonfa</t>
  </si>
  <si>
    <t>Relógio eletrônico de ponto</t>
  </si>
  <si>
    <t>Equipamento - todos os vigilantes</t>
  </si>
  <si>
    <t>Livro de ocorrência</t>
  </si>
  <si>
    <t>Lanterna</t>
  </si>
  <si>
    <t>Apito</t>
  </si>
  <si>
    <t>Espargidor de pimenta</t>
  </si>
  <si>
    <t>Uniformes para Vigilantes (sexo feminino e masculino)</t>
  </si>
  <si>
    <t>Calças</t>
  </si>
  <si>
    <t>Camisas</t>
  </si>
  <si>
    <t>Cintos de nylon</t>
  </si>
  <si>
    <t>Coturnos</t>
  </si>
  <si>
    <t>Meias</t>
  </si>
  <si>
    <t xml:space="preserve">Quepe </t>
  </si>
  <si>
    <t>japona</t>
  </si>
  <si>
    <t>Capa de chuva</t>
  </si>
  <si>
    <t>Guarda chuva</t>
  </si>
  <si>
    <t>Crachá</t>
  </si>
  <si>
    <t>Intervalo Intrajornada Titular</t>
  </si>
  <si>
    <t>Radiocomumicador</t>
  </si>
  <si>
    <t>Supervisor geral (44 h semanais)</t>
  </si>
  <si>
    <t>Calça social preta (mesmo tom e mesmo material do blazer)</t>
  </si>
  <si>
    <t>Sapatos de couro pretos</t>
  </si>
  <si>
    <t>Meias sociais da mesma cor do terno</t>
  </si>
  <si>
    <t>Sapato social de couro preto</t>
  </si>
  <si>
    <t>Gravata lisa preta</t>
  </si>
  <si>
    <t>Cinto de couro preto</t>
  </si>
  <si>
    <t>Blazer preto em microfibra</t>
  </si>
  <si>
    <t>Uniformes para supervisor e vigilenates do Privativo do Ministro de Estado (sexo feminino)</t>
  </si>
  <si>
    <t>Uniformes para supervisor e vigilenates do Privativo do Ministro de Estados (sexo masculino)</t>
  </si>
  <si>
    <t>Camisa social branca em tecido de algodão</t>
  </si>
  <si>
    <t>Supervisor Geral - 44 h de 2ª  a 6ª feira</t>
  </si>
  <si>
    <t>ITEM 2 - SERVIÇOS DE VIGILANTES DESARMADOS POR DEMANDA</t>
  </si>
  <si>
    <t>Vigilância Desarmada 12x36 Diurno - Chefe de turno</t>
  </si>
  <si>
    <t>Vigilância Desarmada 12x36 Noturno - Chefe de Turno</t>
  </si>
  <si>
    <t>Planilha de custos elaborada por: Barbara da Silva Rosa - Membro da equipe de planejamento</t>
  </si>
  <si>
    <t>Multa do FGTS sobre Aviso Prévio Indenizado</t>
  </si>
  <si>
    <t>Multa do FGTS  sobre Aviso Prévio Indenizado</t>
  </si>
  <si>
    <t>Multa do FGTS  Aviso Prévio trabalhado</t>
  </si>
  <si>
    <t>Multa do FGTS  sobre Aviso Prévio trabalhado</t>
  </si>
  <si>
    <t>Multa do FGTS sobre Aviso Prévio trabalhado</t>
  </si>
  <si>
    <t>Adicional de periculosidade</t>
  </si>
  <si>
    <t>Seguro de vida</t>
  </si>
  <si>
    <t>Supervisor 12x36 Diurno</t>
  </si>
  <si>
    <t xml:space="preserve">Supervisor 12x36 Noturno </t>
  </si>
  <si>
    <t>Valor da diária + periculosidade</t>
  </si>
  <si>
    <t xml:space="preserve">            VIPPIM Segurança e Vigilância LTDA</t>
  </si>
  <si>
    <t>Ao</t>
  </si>
  <si>
    <t>Ministério das Minas e Energia</t>
  </si>
  <si>
    <t>Brasília - DF</t>
  </si>
  <si>
    <t>Ref. PROPOSTA DE PREÇOS</t>
  </si>
  <si>
    <t>Pregão Eletrônico No. 09/2021</t>
  </si>
  <si>
    <t>DADOS DA EMPRESA:</t>
  </si>
  <si>
    <r>
      <t xml:space="preserve">RAZÃO SOCIAL: </t>
    </r>
    <r>
      <rPr>
        <sz val="12"/>
        <rFont val="Arial Narrow"/>
        <family val="2"/>
      </rPr>
      <t>VIPPIM VIGILÂNCIA E SEGURANÇA LTDA</t>
    </r>
  </si>
  <si>
    <r>
      <t xml:space="preserve">CNPJ: </t>
    </r>
    <r>
      <rPr>
        <sz val="12"/>
        <rFont val="Arial Narrow"/>
        <family val="2"/>
      </rPr>
      <t>11.349.160/0001-67</t>
    </r>
  </si>
  <si>
    <r>
      <t xml:space="preserve">ENDEREÇO: </t>
    </r>
    <r>
      <rPr>
        <sz val="12"/>
        <rFont val="Arial Narrow"/>
        <family val="2"/>
      </rPr>
      <t>RUA 05 LOTE 23 - LOJA 02 - PÓLO DE MODAS - GUARÁ - DF - CEP: 71.070-505</t>
    </r>
  </si>
  <si>
    <r>
      <t xml:space="preserve">TELEFONE: </t>
    </r>
    <r>
      <rPr>
        <sz val="12"/>
        <rFont val="Arial Narrow"/>
        <family val="2"/>
      </rPr>
      <t>61-3386-8878</t>
    </r>
    <r>
      <rPr>
        <b/>
        <sz val="12"/>
        <rFont val="Arial Narrow"/>
        <family val="2"/>
      </rPr>
      <t xml:space="preserve"> - EMAIL: </t>
    </r>
    <r>
      <rPr>
        <sz val="12"/>
        <rFont val="Arial Narrow"/>
        <family val="2"/>
      </rPr>
      <t>vippimezpcomercial@gmail.com</t>
    </r>
  </si>
  <si>
    <t>Prezados Senhores,</t>
  </si>
  <si>
    <t>A empresa VIPPIM VIGILÂNCIA E SEGURANÇA LTDA, inscrita no CNPJ sob o número 11.349.160/0001-67, sediada no endereço Rua 05 Lote 23 Loja 02 - Pólo de Modas - Guará II - Brasília - DF,  para fins departicipação no Pregão Eletrônico em referência, apresentar Proposta de Preços para serviços de vigilância armada e desarmada, com disponibilização de solução tecnológica para gestão e fiscalização contratual por meio de aplicação web e aplicativo mobile, conforme condições, quantidades e exigências estabelecidas neste Edital e seus anexos.</t>
  </si>
  <si>
    <t>Grupo</t>
  </si>
  <si>
    <t>Item</t>
  </si>
  <si>
    <t>Descrição</t>
  </si>
  <si>
    <t>Qtde de emp. Por posto</t>
  </si>
  <si>
    <t>Qtde de Postos</t>
  </si>
  <si>
    <t>Qtde de Vigilantes</t>
  </si>
  <si>
    <t>Valor por Vigilante</t>
  </si>
  <si>
    <t>Valor por posto</t>
  </si>
  <si>
    <t xml:space="preserve">VALOR MENSAL </t>
  </si>
  <si>
    <t>Valor Total para 12 meses</t>
  </si>
  <si>
    <t>TOTAL:</t>
  </si>
  <si>
    <t>SERVIÇOS DE VIGILANTES DESARMADOS POR DEMANDA</t>
  </si>
  <si>
    <t>Valor mensal do serviço</t>
  </si>
  <si>
    <t>Número de meses do contrato</t>
  </si>
  <si>
    <t>Valor Anual do Serviço</t>
  </si>
  <si>
    <t>DADOS DO REPRESENTANTE LEGAL PARA ASSINATURA DO CONTRATO:</t>
  </si>
  <si>
    <r>
      <t xml:space="preserve">NOME: </t>
    </r>
    <r>
      <rPr>
        <sz val="12"/>
        <rFont val="Arial Narrow"/>
        <family val="2"/>
      </rPr>
      <t>Eurípedes Gonçalves</t>
    </r>
  </si>
  <si>
    <r>
      <t xml:space="preserve">ENDEREÇO: </t>
    </r>
    <r>
      <rPr>
        <sz val="12"/>
        <rFont val="Arial Narrow"/>
        <family val="2"/>
      </rPr>
      <t>CH 53 LOTE 06 - TAGUATINGA</t>
    </r>
  </si>
  <si>
    <r>
      <t xml:space="preserve">CEP: </t>
    </r>
    <r>
      <rPr>
        <sz val="12"/>
        <rFont val="Arial Narrow"/>
        <family val="2"/>
      </rPr>
      <t>72.001-500</t>
    </r>
  </si>
  <si>
    <r>
      <rPr>
        <b/>
        <sz val="12"/>
        <rFont val="Arial Narrow"/>
        <family val="2"/>
      </rPr>
      <t xml:space="preserve">CIDADE/UF: </t>
    </r>
    <r>
      <rPr>
        <sz val="12"/>
        <rFont val="Arial Narrow"/>
        <family val="2"/>
      </rPr>
      <t>TAGUATINGA - BRASÍLIA - DF</t>
    </r>
  </si>
  <si>
    <r>
      <t xml:space="preserve">ESTADO CIVIL: </t>
    </r>
    <r>
      <rPr>
        <sz val="12"/>
        <rFont val="Arial Narrow"/>
        <family val="2"/>
      </rPr>
      <t>CASADO</t>
    </r>
  </si>
  <si>
    <r>
      <rPr>
        <b/>
        <sz val="12"/>
        <rFont val="Arial Narrow"/>
        <family val="2"/>
      </rPr>
      <t>CARGO/FUNÇÃO</t>
    </r>
    <r>
      <rPr>
        <sz val="12"/>
        <rFont val="Arial Narrow"/>
        <family val="2"/>
      </rPr>
      <t>: SÓCIO</t>
    </r>
  </si>
  <si>
    <r>
      <t xml:space="preserve">CPF: </t>
    </r>
    <r>
      <rPr>
        <sz val="12"/>
        <rFont val="Arial Narrow"/>
        <family val="2"/>
      </rPr>
      <t>256.203.981-53</t>
    </r>
  </si>
  <si>
    <r>
      <rPr>
        <b/>
        <sz val="12"/>
        <rFont val="Arial Narrow"/>
        <family val="2"/>
      </rPr>
      <t>RG:</t>
    </r>
    <r>
      <rPr>
        <sz val="12"/>
        <rFont val="Arial Narrow"/>
        <family val="2"/>
      </rPr>
      <t xml:space="preserve"> 623.703 - SSP-DF</t>
    </r>
  </si>
  <si>
    <r>
      <t xml:space="preserve">NATURALIDADE: </t>
    </r>
    <r>
      <rPr>
        <sz val="12"/>
        <rFont val="Arial Narrow"/>
        <family val="2"/>
      </rPr>
      <t>BRASÍLIA</t>
    </r>
  </si>
  <si>
    <r>
      <rPr>
        <b/>
        <sz val="12"/>
        <rFont val="Arial Narrow"/>
        <family val="2"/>
      </rPr>
      <t xml:space="preserve">NACIONALIDADE: </t>
    </r>
    <r>
      <rPr>
        <sz val="12"/>
        <rFont val="Arial Narrow"/>
        <family val="2"/>
      </rPr>
      <t>BRASILEIRO</t>
    </r>
  </si>
  <si>
    <t>DECLARAÇÕES:</t>
  </si>
  <si>
    <r>
      <t>1)</t>
    </r>
    <r>
      <rPr>
        <sz val="12"/>
        <rFont val="Arial Narrow"/>
        <family val="2"/>
      </rPr>
      <t xml:space="preserve"> Nos valores propostos estarão inclusos todos os custos operacionais, encargos previdenciários, trabalhistas, tributários, comerciais e quaisquer outros que incidam direta ou indiretamente na prestação dos serviços, apurados mediante o preenchimento do modelo de Planilha de Custos e Formação de Preços, conforme anexo deste Edital;</t>
    </r>
  </si>
  <si>
    <r>
      <t>2)</t>
    </r>
    <r>
      <rPr>
        <sz val="12"/>
        <rFont val="Arial Narrow"/>
        <family val="2"/>
      </rPr>
      <t xml:space="preserve"> Os preços propostos foram cotados conforme salários e benefícios previstos na Convenção Coletiva de Trabalho do SINDESV-DF e SINDESP-DF, cuja vigência da data base é de 01/01/2021 à 31/12/2021.</t>
    </r>
  </si>
  <si>
    <r>
      <t>3)</t>
    </r>
    <r>
      <rPr>
        <sz val="12"/>
        <rFont val="Arial Narrow"/>
        <family val="2"/>
      </rPr>
      <t xml:space="preserve"> Que se responsabiliza pela prestação dos serviços no prazo estabelecido no Termo de Referência.</t>
    </r>
  </si>
  <si>
    <r>
      <t>4)</t>
    </r>
    <r>
      <rPr>
        <sz val="12"/>
        <rFont val="Arial Narrow"/>
        <family val="2"/>
      </rPr>
      <t xml:space="preserve"> Prazo de validade da proposta 60 (sessenta) dias a contar da data de sua apresentação.</t>
    </r>
  </si>
  <si>
    <r>
      <t>5)</t>
    </r>
    <r>
      <rPr>
        <sz val="12"/>
        <rFont val="Arial Narrow"/>
        <family val="2"/>
      </rPr>
      <t xml:space="preserve"> O Regime de Tributação desta empresa é o Lucro Real.</t>
    </r>
  </si>
  <si>
    <r>
      <t>6)</t>
    </r>
    <r>
      <rPr>
        <sz val="12"/>
        <rFont val="Arial Narrow"/>
        <family val="2"/>
      </rPr>
      <t xml:space="preserve"> Que tem pleno conhecimento das condições necessárias para a prestação de serviços objeto da licitação.</t>
    </r>
  </si>
  <si>
    <t xml:space="preserve">DADOS BANCÁRIOS: </t>
  </si>
  <si>
    <r>
      <t xml:space="preserve">BANCO DO BRASIL S/A             AGÊNCIA: </t>
    </r>
    <r>
      <rPr>
        <sz val="12"/>
        <rFont val="Arial Narrow"/>
        <family val="2"/>
      </rPr>
      <t xml:space="preserve">3599-8 </t>
    </r>
    <r>
      <rPr>
        <b/>
        <sz val="12"/>
        <rFont val="Arial Narrow"/>
        <family val="2"/>
      </rPr>
      <t xml:space="preserve">            CONTA-CORRENTE: </t>
    </r>
    <r>
      <rPr>
        <sz val="12"/>
        <rFont val="Arial Narrow"/>
        <family val="2"/>
      </rPr>
      <t xml:space="preserve">222.658-8               </t>
    </r>
    <r>
      <rPr>
        <b/>
        <sz val="12"/>
        <rFont val="Arial Narrow"/>
        <family val="2"/>
      </rPr>
      <t>PRAÇA:</t>
    </r>
    <r>
      <rPr>
        <sz val="12"/>
        <rFont val="Arial Narrow"/>
        <family val="2"/>
      </rPr>
      <t xml:space="preserve"> Brasília - DF</t>
    </r>
  </si>
  <si>
    <t>MEMÓRIA DE CÁLCULOS ENCARGOS SOCIAIS</t>
  </si>
  <si>
    <t>Submódulo 2.1 - 13º (décimo-terceiro) Salário, Férias e Adicional de Férias</t>
  </si>
  <si>
    <t>2.1 - 13º Salário</t>
  </si>
  <si>
    <t xml:space="preserve">    A - 13º (décimo terceiro) salário</t>
  </si>
  <si>
    <t xml:space="preserve">    B - Férias e Adicional de Férias</t>
  </si>
  <si>
    <t>SUB TOTAL</t>
  </si>
  <si>
    <t>Submódulo 2.2 - Encargos Previdenciários (GPS) , Fundo de Garantia por Tempo de Serviço (FGTS) e Outras Contribuições</t>
  </si>
  <si>
    <t xml:space="preserve">    A - INSS</t>
  </si>
  <si>
    <t xml:space="preserve">    B - Salário Educação</t>
  </si>
  <si>
    <t xml:space="preserve">    C - Seguro Acidente do Trabalho/SAT/INSS (3 X 0,50)</t>
  </si>
  <si>
    <t xml:space="preserve">    D - SESC ou SESI</t>
  </si>
  <si>
    <t xml:space="preserve">    E - SENAI ou SENAC</t>
  </si>
  <si>
    <t xml:space="preserve">    F - SEBRAE</t>
  </si>
  <si>
    <t xml:space="preserve">    G - INCRA</t>
  </si>
  <si>
    <t xml:space="preserve">    H - FGTS</t>
  </si>
  <si>
    <t>TOTAL</t>
  </si>
  <si>
    <t>MÓDULO 3: PROVISÃO PARA RESCISÃO</t>
  </si>
  <si>
    <t>3.1 - Provisão para Rescisão</t>
  </si>
  <si>
    <t xml:space="preserve">    E - Incidência Submódulo 2.2 sobre Aviso Prévio Trabalhado</t>
  </si>
  <si>
    <t>Total de provisão para Rescisão</t>
  </si>
  <si>
    <t>MÓDULO 4:  CUSTO DE REPOSIÇÃO DO PROFISSIONAL AUSENTE</t>
  </si>
  <si>
    <t>Submodulo 4.1 - Ausências Legais</t>
  </si>
  <si>
    <t>SUBTOTAL</t>
  </si>
  <si>
    <t>TOTAL GERAL ENCARGOS SOCIAIS</t>
  </si>
  <si>
    <t>Incidência do submódulo 2.2 sobre 2.1</t>
  </si>
  <si>
    <t xml:space="preserve">    B - Incidência do FGTS sobre aviso prévio indenizado (8%)</t>
  </si>
  <si>
    <t xml:space="preserve">   C - Multa do FGTS nas rescisões sem justa causa</t>
  </si>
  <si>
    <t xml:space="preserve">   F - Multa do FGTS sobre aviso prévio trabalhado</t>
  </si>
  <si>
    <t xml:space="preserve">    F - Substituto na Cobertura de outras Ausências (especificar)</t>
  </si>
  <si>
    <r>
      <t xml:space="preserve">JUSTIFICATIVA: </t>
    </r>
    <r>
      <rPr>
        <b/>
        <sz val="10"/>
        <rFont val="Arial"/>
        <family val="2"/>
      </rPr>
      <t>SOBRE O AVISO PRÉVIO INDENIZADO:</t>
    </r>
    <r>
      <rPr>
        <sz val="10"/>
        <rFont val="Arial"/>
        <family val="2"/>
      </rPr>
      <t xml:space="preserve"> Como descrito na justificativa apresentada por esta empresa, esse trata de valor devido ao empregado no caso de o empregador rescindir o contrato sem justo motivo e sem lhe conceder o prazo para o cumprimento do aviso prévio. 
Antes de mais nada, vale ressaltar que na atual conjuntura econômica de nosso País, o percentual de casos em que esta e qualquer outra empresa de qualquer ramo econômico ofereça a indenização de aviso prévio é quase nula, ocorrendo em casos extremamente raros, já que dispor de um salário integral, acrescidos das demais verbas trabalhistas sem a compensatória prestação de serviços, onera demais o passivo trabalhista de qualquer empresa, prejudicando assim a operacionalização dos serviços, bem como sua saúde financeira.
Além do mais, com o advindo da reforma trabalhista em 2017, pela Lei 13.467/2017, se regularizou uma prática já corriqueira entre empregado e empregador, onde ambos estabeleciam um acordo para dispensa do empregado, já que o empregado queria sair da empresa mas não queria perder direitos, a reforma veio com objetivo de diminuir o valor das verbas trabalhistas e assim possibilitar a dispensa já que existia interesse recíproco.
O artigo 484-A dispõe que “o contrato de trabalho poderá ser extinto por acordo entre empregado e empregador (…)”.
Tendo em vista a nova previsão no diploma trabalhista, o aviso prévio se indenizado será pago pela metade e a indenização sobre o saldo do FGTS de 20%, sendo limitado a 80% do valor do depósito (artigo 484-A, § 1º da CLT) as demais verbas serão pagas da mesma forma como anterior a nova Lei, indenização fundiária, o saldo de salário (valor devido pelos dias trabalhados no mês da dispensa); o 13º salário proporcional aos meses trabalhados no respectivo ano; e férias vencidas e/ou proporcionais acrescidas do terço constitucional. Não sendo permitido o recebimento do seguro desemprego. (Artigo 484-A, § 2º da CLT).
Ou seja, além de ser remota a dispensa do empregado a fim de pagamento do aviso prévio indenizado, a Nova Lei Trabalhista ainda prevê que tal prática seja de comum acordo entre o emprego e empregador, razão pela qual, a provisão de 1% dos empregados nessa situação ser suficiente para cumprir com o exigido no edital de licitação.
</t>
    </r>
    <r>
      <rPr>
        <b/>
        <sz val="10"/>
        <rFont val="Arial"/>
        <family val="2"/>
      </rPr>
      <t xml:space="preserve">D - SOBRE O AVISO PRÉVIO TRABALHADO: Como descrito na justificativa, a CCT da Categoria prevê em sua Cláusula Vigésima Nona o seguinte:
"POLÍTICAS DE MANUTENÇÃO DO EMPREGO
CLÁUSULA TRIGÉSIMA SEXTA - INCENTIVO À CONTINUIDADE
Fica pactuado que as empresas que sucederem outras na prestação do mesmo serviço, em razão de nova licitação pública ou novo contrato administrativo ou particular e/ou contrato emergencial, ficarão obrigadas a contratar os empregados da empresa anterior respeitando todas as estabilidades legais, inclusive as gestantes; membros de CIPA; e todos os demais funcionários que na data do desligamento possua qualquer tipo de estabilidade legal e/ou funcional, sem descontinuidade quanto ao pagamento dos salários e a prestação dos serviços, limitado ao quantitativo de empregados do novo contrato, obrigando as empresas que perderem o contrato a comunicar o fato ao sindicato laboral, inclusive por correspondência eletrônica, até 20 (vinte) dias antes do final do mesmo.
.............
§ 3º - Item IV - A empresa que está perdendo o contrato de prestação de serviços fica desobrigada do pagamento do aviso prévio e suas respectivas projeções, conforme previsto  no art. 12º das Leis nº 13.932/2019, obrigando-se, entretanto, a pagar as demais verbas rescisórias, sendo que a multa fundiária (art. 4º Decreto nº 99.684/90), será calculada no percentual de 40% do FGTS devido ao empregado. "
Sendo assim, caso essa empresa venha a perder o contrato futuramente, outra empresa passará a ser sucessora dos serviços e estará obrigada a contratar todos os empregados lotados na frente de serviços, sendo que esta não será obrigada a pagar o aviso prévio trabalhado, conforme descrito na Cláusula da CCT acima, razão pela qual, a previsão de 1% para esse custo é mais do que suficiente para cumprir com o exigido no edital em referência.
</t>
    </r>
  </si>
  <si>
    <r>
      <t xml:space="preserve">    A - Aviso prévio indenizado </t>
    </r>
    <r>
      <rPr>
        <i/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(CF, art. 7º, inciso XXI e CLT, arts. 477 e 487 a 491. Trata-se de valor devido ao empregado no caso de o empregador rescindir o contrato sem justo motivo e sem lhe conceder aviso prévio. De acordo com as estatísticas desta empresa, menos de 1% do seu pessoal é demitido pelo empregador, antes do término do contrato de trabalho logo a provisão representa: ((1/12)x 0,01) x 100 =0,08 %.</t>
    </r>
  </si>
  <si>
    <t xml:space="preserve">    A –Substituo na Cobertura de Férias  = ((12,10%)/12 = 0,95%)</t>
  </si>
  <si>
    <r>
      <t xml:space="preserve">    C - Substituto na Cobertura de Licença paternidade</t>
    </r>
    <r>
      <rPr>
        <i/>
        <sz val="10"/>
        <rFont val="Times New Roman"/>
        <family val="1"/>
      </rPr>
      <t xml:space="preserve"> </t>
    </r>
    <r>
      <rPr>
        <b/>
        <i/>
        <sz val="8"/>
        <rFont val="Times New Roman"/>
        <family val="1"/>
      </rPr>
      <t>(Art. 7º, inciso XIX da CF e art. 10, §1º dos ADCT. Concede ao empregado o direito de ausentar-se do serviço por cinco dias quando do nascimento de filho. De acordo com as estatísticas dessa empresa, nascem filhos de 1,5% dos trabalhadores no periodo de 1 ano.  ((5d/30d)/12m x 1,5%)x100 = 0,02%.</t>
    </r>
  </si>
  <si>
    <r>
      <t xml:space="preserve">    E - Substituto na Cobertura de Afastamento Maternidade</t>
    </r>
    <r>
      <rPr>
        <b/>
        <i/>
        <sz val="10"/>
        <rFont val="Times New Roman"/>
        <family val="1"/>
      </rPr>
      <t xml:space="preserve"> (Conforme arts. 6º e 7º, inciso XVIII, 201, inciso II e 203, inciso I da CF; Lei Ordinária Federal nº 8.123/91, arts. 71 a 73. A licença maternidade tem duração de 120 dias. O cálculo deve considerar 4/12 de adicional de 1/3 de férias e 4/12 de 13º salário da profissional substituta. De acordo com as estatísticas desta empresa  25,00% dos profissionais que trabalham como brigadistas são mulheres e que a média de 10% dessas brigadistas recebem o benefício Cálculo: ((1 ÷ 12 x 4) + (1,33 ÷ 12 x 4)) ÷ 12 x 0,0025 = 0,02%).</t>
    </r>
  </si>
  <si>
    <r>
      <t xml:space="preserve">    B – Substituto na Cobertura de Ausências legais</t>
    </r>
    <r>
      <rPr>
        <i/>
        <sz val="10"/>
        <rFont val="Times New Roman"/>
        <family val="1"/>
      </rPr>
      <t xml:space="preserve"> </t>
    </r>
    <r>
      <rPr>
        <b/>
        <i/>
        <sz val="8"/>
        <rFont val="Times New Roman"/>
        <family val="1"/>
      </rPr>
      <t xml:space="preserve">(Ausências ao trabalho asseguradas ao empregado pelo art. 473 da CLT (morte de cônjuge, ascendente, descendente; casamento; nascimento de filho; doação de sangue; alistamento eleitoral; serviço militar; comparecer a juízo). MEMÓRIA DE CÁLCULO: (2,96d/30d/12m)x2%x100 = 0,02% </t>
    </r>
  </si>
  <si>
    <t xml:space="preserve">    C - Adicional de Férias</t>
  </si>
  <si>
    <t xml:space="preserve">Férias </t>
  </si>
  <si>
    <t>Adicional de férias</t>
  </si>
  <si>
    <r>
      <t xml:space="preserve">    D - Aviso Prévio Trabalhado</t>
    </r>
    <r>
      <rPr>
        <b/>
        <sz val="10"/>
        <rFont val="Times New Roman"/>
        <family val="1"/>
      </rPr>
      <t xml:space="preserve"> (Acórdão TCU 3.006/2010 - Plenário - apêndice pág. 53. Refere-se à indenização de sete dias corridos devida ao empregado no caso de o empregador rescindir o contrato sem justo motivo e conceder aviso prévio, conforme disposto no art. 488 da CLT).   Em razão da CCT da Categoria, prever que os empregados terão direito a continuidade na contratação dos serviços, o percentual de demissão de empregados terceirizados nessa situação é de 2%. Logo a provisão representa: ((7/30)/12) = 1,94 % x 1% = 0,02%</t>
    </r>
  </si>
  <si>
    <r>
      <t xml:space="preserve">    </t>
    </r>
    <r>
      <rPr>
        <sz val="11"/>
        <color indexed="8"/>
        <rFont val="Times New Roman"/>
        <family val="1"/>
      </rPr>
      <t xml:space="preserve">D - Substituto na Cobertura de Ausência por Acidente de Trabalho </t>
    </r>
    <r>
      <rPr>
        <b/>
        <i/>
        <sz val="8"/>
        <color indexed="8"/>
        <rFont val="Times New Roman"/>
        <family val="1"/>
      </rPr>
      <t>(O art. 27 do Decreto nº 89.312/84 obriga o empregador a assumir o ônus financeiro pelo prazo de 15 dias, no caso de acidente de trabalho previsto no art. 131 da CLT. De acordo com estatísticas dessa empresa em média menos de  0,5% dos empregados se acidentam no trabalho no ano. Assim a provisão corresponde a: MEMÓRIA DE CÁLCULO:(15 ÷ 30 ÷ 12 x 0,005 x 100 = 0,02%)</t>
    </r>
  </si>
  <si>
    <t>Serviço de Vigilância Armada - Diurna 12 x36 hs - Intrajornada</t>
  </si>
  <si>
    <t>Serviço de Vigilância Armada - Noturno 12 x36 hs - Intrajornada</t>
  </si>
  <si>
    <t xml:space="preserve"> 1 hora</t>
  </si>
  <si>
    <t xml:space="preserve">Adicional Hora </t>
  </si>
  <si>
    <t>Dias Trabalhados</t>
  </si>
  <si>
    <t>Intrajornada</t>
  </si>
  <si>
    <t xml:space="preserve">Outros - Intrajornada </t>
  </si>
  <si>
    <t xml:space="preserve">Salario + A.Peric </t>
  </si>
  <si>
    <t>IMPACTO DO ACRESCIMO DE POSTOS SOBRE O VALOR TOTAL DO CONTRATO</t>
  </si>
  <si>
    <t>Valor Contratual</t>
  </si>
  <si>
    <t>Valor IntraJornada</t>
  </si>
  <si>
    <t>Impacto sobre o valor atual repactuado</t>
  </si>
  <si>
    <t>Custo total mensal - Item 1 e 2</t>
  </si>
  <si>
    <t xml:space="preserve">Custo mensal - Mão de Obra </t>
  </si>
  <si>
    <t>Custo Global (12 Meses) - Item 1 e 2</t>
  </si>
  <si>
    <t xml:space="preserve">Custo Global (12 Meses) Mão de Obra </t>
  </si>
  <si>
    <t>Depreciação mensal - Reajustado</t>
  </si>
  <si>
    <t>Valor Rateado - Reajustado</t>
  </si>
  <si>
    <t>QUADRO DEMONSTRATIVO DO VALOR GLOBAL DA PROPOSTA - REPACTUAÇÃO 2023</t>
  </si>
  <si>
    <t>IMPACTO DO REAJUSTE - IPCA</t>
  </si>
  <si>
    <t>Valor Reajustado</t>
  </si>
  <si>
    <t>Impacto Reajuste</t>
  </si>
  <si>
    <t>IPCA out/2023</t>
  </si>
  <si>
    <t>QUADRO DEMONSTRATIVO DO VALOR GLOBAL DA PROPOSTA - REPACTUAÇÃO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</si>
</sst>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_-* #,##0.00_-;\-* #,##0.00_-;_-* &quot;-&quot;??_-;_-@_-"/>
    <numFmt numFmtId="167" formatCode="_-&quot;R$&quot;* #,##0.00_-;\-&quot;R$&quot;* #,##0.00_-;_-&quot;R$&quot;* &quot;-&quot;??_-;_-@_-"/>
    <numFmt numFmtId="168" formatCode="&quot;R$&quot;\ #,##0.00"/>
    <numFmt numFmtId="169" formatCode="&quot;R$&quot;#,##0.00"/>
    <numFmt numFmtId="170" formatCode="0.0000%"/>
    <numFmt numFmtId="171" formatCode="0.000%"/>
    <numFmt numFmtId="172" formatCode="_-* #,##0_-;\-* #,##0_-;_-* &quot;-&quot;??_-;_-@_-"/>
    <numFmt numFmtId="173" formatCode="#,##0.000"/>
    <numFmt numFmtId="174" formatCode="_-[$R$-416]* #,##0.00_-;\-[$R$-416]* #,##0.00_-;_-[$R$-416]* &quot;-&quot;??_-;_-@_-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indexed="81"/>
      <name val="Segoe UI"/>
      <family val="2"/>
    </font>
    <font>
      <sz val="10"/>
      <color theme="0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sz val="8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8"/>
      <color rgb="FF002060"/>
      <name val="Aharoni"/>
    </font>
    <font>
      <b/>
      <i/>
      <sz val="12"/>
      <name val="Arial Narrow"/>
      <family val="2"/>
    </font>
    <font>
      <i/>
      <sz val="12"/>
      <name val="Arial"/>
      <family val="2"/>
    </font>
    <font>
      <b/>
      <i/>
      <sz val="14"/>
      <name val="Arial Narrow"/>
      <family val="2"/>
    </font>
    <font>
      <b/>
      <i/>
      <sz val="10"/>
      <name val="Arial Narrow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color rgb="FFC00000"/>
      <name val="Arial"/>
      <family val="2"/>
    </font>
    <font>
      <b/>
      <sz val="10"/>
      <name val="Times New Roman"/>
      <family val="1"/>
      <charset val="1"/>
    </font>
    <font>
      <sz val="11"/>
      <color indexed="57"/>
      <name val="Times New Roman"/>
      <family val="1"/>
      <charset val="1"/>
    </font>
    <font>
      <b/>
      <sz val="12"/>
      <name val="Times New Roman"/>
      <family val="1"/>
      <charset val="1"/>
    </font>
    <font>
      <sz val="11"/>
      <color indexed="57"/>
      <name val="Times New Roman"/>
      <family val="1"/>
    </font>
    <font>
      <sz val="10"/>
      <name val="Times New Roman"/>
      <family val="1"/>
      <charset val="1"/>
    </font>
    <font>
      <sz val="11"/>
      <color indexed="18"/>
      <name val="Times New Roman"/>
      <family val="1"/>
    </font>
    <font>
      <sz val="8"/>
      <name val="Arial"/>
      <family val="2"/>
    </font>
    <font>
      <b/>
      <sz val="11"/>
      <color indexed="18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</font>
    <font>
      <b/>
      <sz val="10"/>
      <name val="Times New Roman"/>
      <family val="1"/>
    </font>
    <font>
      <b/>
      <i/>
      <sz val="8"/>
      <name val="Times New Roman"/>
      <family val="1"/>
    </font>
    <font>
      <b/>
      <i/>
      <sz val="8"/>
      <color indexed="8"/>
      <name val="Times New Roman"/>
      <family val="1"/>
    </font>
    <font>
      <b/>
      <i/>
      <sz val="10"/>
      <name val="Times New Roman"/>
      <family val="1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13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31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8" tint="-0.249977111117893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9" fillId="0" borderId="0"/>
    <xf numFmtId="0" fontId="29" fillId="0" borderId="0" applyNumberFormat="0" applyFill="0" applyBorder="0" applyAlignment="0" applyProtection="0">
      <alignment vertical="top"/>
      <protection locked="0"/>
    </xf>
    <xf numFmtId="9" fontId="19" fillId="0" borderId="0" applyFill="0" applyBorder="0" applyAlignment="0" applyProtection="0"/>
    <xf numFmtId="0" fontId="19" fillId="0" borderId="0"/>
  </cellStyleXfs>
  <cellXfs count="552">
    <xf numFmtId="0" fontId="0" fillId="0" borderId="0" xfId="0"/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168" fontId="5" fillId="2" borderId="14" xfId="0" applyNumberFormat="1" applyFont="1" applyFill="1" applyBorder="1" applyAlignment="1" applyProtection="1">
      <alignment horizontal="center" vertical="center"/>
      <protection locked="0"/>
    </xf>
    <xf numFmtId="168" fontId="5" fillId="0" borderId="0" xfId="0" applyNumberFormat="1" applyFont="1" applyFill="1" applyBorder="1" applyAlignment="1" applyProtection="1">
      <alignment horizontal="center" vertical="center"/>
      <protection locked="0"/>
    </xf>
    <xf numFmtId="168" fontId="8" fillId="5" borderId="16" xfId="0" applyNumberFormat="1" applyFont="1" applyFill="1" applyBorder="1" applyAlignment="1">
      <alignment horizontal="center" vertical="center"/>
    </xf>
    <xf numFmtId="168" fontId="8" fillId="0" borderId="0" xfId="0" applyNumberFormat="1" applyFont="1" applyFill="1" applyBorder="1" applyAlignment="1">
      <alignment horizontal="center" vertical="center"/>
    </xf>
    <xf numFmtId="10" fontId="5" fillId="0" borderId="17" xfId="0" applyNumberFormat="1" applyFont="1" applyBorder="1" applyAlignment="1">
      <alignment horizontal="center" vertical="center"/>
    </xf>
    <xf numFmtId="168" fontId="5" fillId="0" borderId="14" xfId="0" applyNumberFormat="1" applyFont="1" applyBorder="1" applyAlignment="1">
      <alignment horizontal="center" vertical="center"/>
    </xf>
    <xf numFmtId="168" fontId="5" fillId="0" borderId="0" xfId="0" applyNumberFormat="1" applyFont="1" applyFill="1" applyBorder="1" applyAlignment="1">
      <alignment horizontal="center" vertical="center"/>
    </xf>
    <xf numFmtId="168" fontId="8" fillId="7" borderId="16" xfId="0" applyNumberFormat="1" applyFont="1" applyFill="1" applyBorder="1" applyAlignment="1">
      <alignment horizontal="center" vertical="center"/>
    </xf>
    <xf numFmtId="168" fontId="5" fillId="0" borderId="0" xfId="0" applyNumberFormat="1" applyFont="1" applyAlignment="1">
      <alignment vertical="center" wrapText="1"/>
    </xf>
    <xf numFmtId="10" fontId="5" fillId="2" borderId="17" xfId="0" applyNumberFormat="1" applyFont="1" applyFill="1" applyBorder="1" applyAlignment="1" applyProtection="1">
      <alignment horizontal="center" vertical="center"/>
      <protection locked="0"/>
    </xf>
    <xf numFmtId="10" fontId="8" fillId="7" borderId="15" xfId="0" applyNumberFormat="1" applyFont="1" applyFill="1" applyBorder="1" applyAlignment="1">
      <alignment horizontal="center" vertical="center"/>
    </xf>
    <xf numFmtId="168" fontId="8" fillId="0" borderId="20" xfId="0" applyNumberFormat="1" applyFont="1" applyFill="1" applyBorder="1" applyAlignment="1">
      <alignment horizontal="center" vertical="center"/>
    </xf>
    <xf numFmtId="168" fontId="8" fillId="5" borderId="20" xfId="0" applyNumberFormat="1" applyFont="1" applyFill="1" applyBorder="1" applyAlignment="1">
      <alignment horizontal="center" vertical="center"/>
    </xf>
    <xf numFmtId="10" fontId="5" fillId="0" borderId="0" xfId="0" applyNumberFormat="1" applyFont="1" applyAlignment="1">
      <alignment vertical="center" wrapText="1"/>
    </xf>
    <xf numFmtId="0" fontId="5" fillId="0" borderId="21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168" fontId="5" fillId="0" borderId="14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168" fontId="8" fillId="8" borderId="16" xfId="0" applyNumberFormat="1" applyFont="1" applyFill="1" applyBorder="1" applyAlignment="1">
      <alignment horizontal="center" vertical="center"/>
    </xf>
    <xf numFmtId="168" fontId="8" fillId="9" borderId="20" xfId="0" applyNumberFormat="1" applyFont="1" applyFill="1" applyBorder="1" applyAlignment="1">
      <alignment horizontal="center" vertical="center"/>
    </xf>
    <xf numFmtId="168" fontId="8" fillId="10" borderId="20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10" fontId="3" fillId="2" borderId="0" xfId="1" applyNumberFormat="1" applyFont="1" applyFill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168" fontId="4" fillId="8" borderId="0" xfId="0" applyNumberFormat="1" applyFont="1" applyFill="1" applyAlignment="1" applyProtection="1">
      <alignment horizontal="center" vertical="center" wrapText="1"/>
    </xf>
    <xf numFmtId="14" fontId="5" fillId="0" borderId="31" xfId="0" applyNumberFormat="1" applyFont="1" applyBorder="1" applyAlignment="1" applyProtection="1">
      <alignment horizontal="center" vertical="center"/>
      <protection locked="0"/>
    </xf>
    <xf numFmtId="14" fontId="5" fillId="0" borderId="16" xfId="0" applyNumberFormat="1" applyFont="1" applyBorder="1" applyAlignment="1" applyProtection="1">
      <alignment horizontal="center" vertical="center"/>
      <protection locked="0"/>
    </xf>
    <xf numFmtId="168" fontId="5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10" fontId="5" fillId="0" borderId="29" xfId="0" applyNumberFormat="1" applyFont="1" applyBorder="1" applyAlignment="1">
      <alignment horizontal="center" vertical="center"/>
    </xf>
    <xf numFmtId="10" fontId="5" fillId="0" borderId="0" xfId="1" applyNumberFormat="1" applyFont="1" applyAlignment="1">
      <alignment vertical="center" wrapText="1"/>
    </xf>
    <xf numFmtId="170" fontId="5" fillId="0" borderId="0" xfId="1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166" fontId="5" fillId="0" borderId="0" xfId="2" applyFont="1" applyAlignment="1">
      <alignment vertical="center"/>
    </xf>
    <xf numFmtId="171" fontId="5" fillId="0" borderId="0" xfId="1" applyNumberFormat="1" applyFont="1" applyAlignment="1">
      <alignment vertical="center"/>
    </xf>
    <xf numFmtId="169" fontId="5" fillId="0" borderId="0" xfId="0" applyNumberFormat="1" applyFont="1" applyAlignment="1">
      <alignment vertical="center" wrapText="1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167" fontId="5" fillId="0" borderId="14" xfId="2" applyNumberFormat="1" applyFont="1" applyBorder="1" applyAlignment="1" applyProtection="1">
      <alignment horizontal="center" vertical="center"/>
      <protection locked="0"/>
    </xf>
    <xf numFmtId="172" fontId="5" fillId="0" borderId="0" xfId="2" applyNumberFormat="1" applyFont="1" applyAlignment="1">
      <alignment vertical="center" wrapText="1"/>
    </xf>
    <xf numFmtId="10" fontId="3" fillId="2" borderId="0" xfId="1" applyNumberFormat="1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7" fillId="15" borderId="40" xfId="0" applyFont="1" applyFill="1" applyBorder="1" applyAlignment="1" applyProtection="1">
      <alignment horizontal="center" vertical="center" wrapText="1"/>
    </xf>
    <xf numFmtId="0" fontId="0" fillId="0" borderId="41" xfId="0" applyBorder="1"/>
    <xf numFmtId="0" fontId="11" fillId="3" borderId="17" xfId="0" applyFont="1" applyFill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44" xfId="0" applyFont="1" applyFill="1" applyBorder="1" applyAlignment="1">
      <alignment horizontal="center" vertical="center"/>
    </xf>
    <xf numFmtId="2" fontId="5" fillId="0" borderId="28" xfId="0" applyNumberFormat="1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2" fontId="8" fillId="5" borderId="43" xfId="0" applyNumberFormat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2" fontId="5" fillId="2" borderId="42" xfId="0" applyNumberFormat="1" applyFont="1" applyFill="1" applyBorder="1" applyAlignment="1" applyProtection="1">
      <alignment horizontal="center" vertical="center"/>
      <protection locked="0"/>
    </xf>
    <xf numFmtId="168" fontId="5" fillId="0" borderId="14" xfId="0" applyNumberFormat="1" applyFont="1" applyFill="1" applyBorder="1" applyAlignment="1" applyProtection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8" fillId="0" borderId="6" xfId="0" applyFont="1" applyBorder="1" applyAlignment="1">
      <alignment horizontal="center" vertical="center" wrapText="1"/>
    </xf>
    <xf numFmtId="10" fontId="3" fillId="2" borderId="0" xfId="1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10" fontId="3" fillId="2" borderId="0" xfId="1" applyNumberFormat="1" applyFont="1" applyFill="1" applyAlignment="1" applyProtection="1">
      <alignment horizontal="center" vertical="center" wrapText="1"/>
      <protection locked="0"/>
    </xf>
    <xf numFmtId="168" fontId="5" fillId="2" borderId="45" xfId="0" applyNumberFormat="1" applyFont="1" applyFill="1" applyBorder="1" applyAlignment="1" applyProtection="1">
      <alignment horizontal="center" vertical="center"/>
      <protection locked="0"/>
    </xf>
    <xf numFmtId="168" fontId="5" fillId="2" borderId="17" xfId="0" applyNumberFormat="1" applyFont="1" applyFill="1" applyBorder="1" applyAlignment="1" applyProtection="1">
      <alignment horizontal="center" vertical="center"/>
      <protection locked="0"/>
    </xf>
    <xf numFmtId="167" fontId="5" fillId="2" borderId="14" xfId="3" applyFont="1" applyFill="1" applyBorder="1" applyAlignment="1" applyProtection="1">
      <alignment horizontal="center" vertical="center"/>
      <protection locked="0"/>
    </xf>
    <xf numFmtId="167" fontId="5" fillId="2" borderId="17" xfId="3" applyFont="1" applyFill="1" applyBorder="1" applyAlignment="1" applyProtection="1">
      <alignment horizontal="center" vertical="center"/>
      <protection locked="0"/>
    </xf>
    <xf numFmtId="167" fontId="8" fillId="5" borderId="16" xfId="3" applyFont="1" applyFill="1" applyBorder="1" applyAlignment="1">
      <alignment horizontal="center" vertical="center"/>
    </xf>
    <xf numFmtId="167" fontId="3" fillId="16" borderId="0" xfId="3" applyFont="1" applyFill="1" applyAlignment="1" applyProtection="1">
      <alignment horizontal="center" vertical="center" wrapText="1"/>
    </xf>
    <xf numFmtId="167" fontId="5" fillId="0" borderId="0" xfId="0" applyNumberFormat="1" applyFont="1" applyAlignment="1">
      <alignment vertical="center" wrapText="1"/>
    </xf>
    <xf numFmtId="168" fontId="8" fillId="5" borderId="17" xfId="0" applyNumberFormat="1" applyFont="1" applyFill="1" applyBorder="1" applyAlignment="1">
      <alignment horizontal="center" vertical="center"/>
    </xf>
    <xf numFmtId="10" fontId="5" fillId="0" borderId="29" xfId="1" applyNumberFormat="1" applyFont="1" applyBorder="1" applyAlignment="1">
      <alignment horizontal="center" vertical="center"/>
    </xf>
    <xf numFmtId="10" fontId="5" fillId="0" borderId="17" xfId="1" applyNumberFormat="1" applyFont="1" applyBorder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10" fontId="5" fillId="0" borderId="18" xfId="0" applyNumberFormat="1" applyFont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 wrapText="1"/>
    </xf>
    <xf numFmtId="0" fontId="14" fillId="12" borderId="36" xfId="0" applyFont="1" applyFill="1" applyBorder="1" applyAlignment="1" applyProtection="1">
      <alignment horizontal="center" vertical="center"/>
    </xf>
    <xf numFmtId="0" fontId="14" fillId="12" borderId="37" xfId="0" applyFont="1" applyFill="1" applyBorder="1" applyAlignment="1" applyProtection="1">
      <alignment horizontal="center" vertical="center" wrapText="1"/>
    </xf>
    <xf numFmtId="0" fontId="14" fillId="15" borderId="37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left" vertical="center"/>
    </xf>
    <xf numFmtId="168" fontId="3" fillId="14" borderId="38" xfId="0" applyNumberFormat="1" applyFont="1" applyFill="1" applyBorder="1" applyAlignment="1" applyProtection="1">
      <alignment horizontal="center" vertical="center" wrapText="1"/>
    </xf>
    <xf numFmtId="0" fontId="3" fillId="7" borderId="38" xfId="0" applyFont="1" applyFill="1" applyBorder="1" applyAlignment="1" applyProtection="1">
      <alignment horizontal="center" vertical="center"/>
    </xf>
    <xf numFmtId="168" fontId="3" fillId="8" borderId="38" xfId="0" applyNumberFormat="1" applyFont="1" applyFill="1" applyBorder="1" applyAlignment="1" applyProtection="1">
      <alignment horizontal="center" vertical="center" wrapText="1"/>
    </xf>
    <xf numFmtId="0" fontId="15" fillId="6" borderId="39" xfId="0" applyFont="1" applyFill="1" applyBorder="1" applyAlignment="1" applyProtection="1">
      <alignment horizontal="center" vertical="center"/>
    </xf>
    <xf numFmtId="168" fontId="15" fillId="6" borderId="39" xfId="0" applyNumberFormat="1" applyFont="1" applyFill="1" applyBorder="1" applyAlignment="1" applyProtection="1">
      <alignment horizontal="center" vertical="center"/>
    </xf>
    <xf numFmtId="168" fontId="15" fillId="13" borderId="37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14" fillId="12" borderId="36" xfId="0" applyFont="1" applyFill="1" applyBorder="1" applyAlignment="1" applyProtection="1">
      <alignment horizontal="center" vertical="center" wrapText="1"/>
    </xf>
    <xf numFmtId="164" fontId="16" fillId="0" borderId="0" xfId="0" applyNumberFormat="1" applyFont="1"/>
    <xf numFmtId="0" fontId="3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5" fillId="0" borderId="17" xfId="0" applyFont="1" applyBorder="1" applyAlignment="1">
      <alignment horizontal="left" vertical="center"/>
    </xf>
    <xf numFmtId="168" fontId="5" fillId="0" borderId="17" xfId="0" applyNumberFormat="1" applyFont="1" applyBorder="1" applyAlignment="1">
      <alignment horizontal="center" vertical="center"/>
    </xf>
    <xf numFmtId="10" fontId="3" fillId="2" borderId="0" xfId="1" applyNumberFormat="1" applyFont="1" applyFill="1" applyAlignment="1" applyProtection="1">
      <alignment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168" fontId="3" fillId="0" borderId="0" xfId="0" applyNumberFormat="1" applyFont="1" applyFill="1" applyBorder="1" applyAlignment="1" applyProtection="1">
      <alignment horizontal="center" vertical="center" wrapText="1"/>
    </xf>
    <xf numFmtId="168" fontId="15" fillId="0" borderId="0" xfId="0" applyNumberFormat="1" applyFont="1" applyFill="1" applyBorder="1" applyAlignment="1" applyProtection="1">
      <alignment horizontal="center" vertical="center"/>
    </xf>
    <xf numFmtId="0" fontId="0" fillId="0" borderId="17" xfId="0" applyBorder="1"/>
    <xf numFmtId="168" fontId="0" fillId="2" borderId="17" xfId="0" applyNumberFormat="1" applyFill="1" applyBorder="1"/>
    <xf numFmtId="168" fontId="0" fillId="0" borderId="17" xfId="0" applyNumberFormat="1" applyBorder="1"/>
    <xf numFmtId="0" fontId="5" fillId="0" borderId="17" xfId="0" applyFont="1" applyBorder="1" applyAlignment="1">
      <alignment horizontal="center" vertical="center"/>
    </xf>
    <xf numFmtId="0" fontId="4" fillId="0" borderId="17" xfId="0" applyFont="1" applyBorder="1"/>
    <xf numFmtId="168" fontId="5" fillId="0" borderId="45" xfId="0" applyNumberFormat="1" applyFont="1" applyBorder="1" applyAlignment="1">
      <alignment horizontal="center" vertical="center"/>
    </xf>
    <xf numFmtId="10" fontId="18" fillId="0" borderId="54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0" fontId="3" fillId="2" borderId="0" xfId="1" applyNumberFormat="1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8" fillId="0" borderId="6" xfId="0" applyFont="1" applyBorder="1" applyAlignment="1">
      <alignment horizontal="center" vertical="center" wrapText="1"/>
    </xf>
    <xf numFmtId="168" fontId="0" fillId="2" borderId="29" xfId="0" applyNumberFormat="1" applyFill="1" applyBorder="1"/>
    <xf numFmtId="0" fontId="5" fillId="0" borderId="29" xfId="0" applyFont="1" applyBorder="1" applyAlignment="1">
      <alignment horizontal="center" vertical="center"/>
    </xf>
    <xf numFmtId="0" fontId="0" fillId="0" borderId="22" xfId="0" applyBorder="1"/>
    <xf numFmtId="0" fontId="5" fillId="0" borderId="42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14" fillId="12" borderId="0" xfId="0" applyFont="1" applyFill="1" applyBorder="1" applyAlignment="1" applyProtection="1">
      <alignment horizontal="center" vertical="center"/>
    </xf>
    <xf numFmtId="0" fontId="7" fillId="15" borderId="0" xfId="0" applyFont="1" applyFill="1" applyBorder="1" applyAlignment="1" applyProtection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10" fontId="3" fillId="2" borderId="0" xfId="1" applyNumberFormat="1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10" fontId="18" fillId="2" borderId="54" xfId="0" applyNumberFormat="1" applyFont="1" applyFill="1" applyBorder="1" applyAlignment="1">
      <alignment horizontal="center" vertical="center"/>
    </xf>
    <xf numFmtId="10" fontId="5" fillId="17" borderId="17" xfId="0" applyNumberFormat="1" applyFont="1" applyFill="1" applyBorder="1" applyAlignment="1">
      <alignment horizontal="center" vertical="center"/>
    </xf>
    <xf numFmtId="168" fontId="5" fillId="17" borderId="14" xfId="0" applyNumberFormat="1" applyFont="1" applyFill="1" applyBorder="1" applyAlignment="1" applyProtection="1">
      <alignment horizontal="center" vertical="center"/>
    </xf>
    <xf numFmtId="2" fontId="5" fillId="17" borderId="0" xfId="0" applyNumberFormat="1" applyFont="1" applyFill="1" applyAlignment="1">
      <alignment horizontal="center" vertical="center"/>
    </xf>
    <xf numFmtId="0" fontId="20" fillId="0" borderId="0" xfId="4" applyFont="1"/>
    <xf numFmtId="0" fontId="21" fillId="16" borderId="0" xfId="4" applyFont="1" applyFill="1" applyAlignment="1">
      <alignment horizontal="justify" vertical="justify" wrapText="1"/>
    </xf>
    <xf numFmtId="0" fontId="22" fillId="16" borderId="0" xfId="4" applyFont="1" applyFill="1" applyAlignment="1">
      <alignment horizontal="justify" vertical="center" wrapText="1"/>
    </xf>
    <xf numFmtId="0" fontId="23" fillId="0" borderId="0" xfId="4" applyFont="1" applyAlignment="1">
      <alignment horizontal="center" vertical="center"/>
    </xf>
    <xf numFmtId="0" fontId="24" fillId="16" borderId="0" xfId="4" applyFont="1" applyFill="1" applyAlignment="1">
      <alignment horizontal="left" wrapText="1"/>
    </xf>
    <xf numFmtId="0" fontId="25" fillId="0" borderId="0" xfId="4" applyFont="1"/>
    <xf numFmtId="0" fontId="26" fillId="16" borderId="0" xfId="4" applyFont="1" applyFill="1" applyAlignment="1">
      <alignment horizontal="left" wrapText="1"/>
    </xf>
    <xf numFmtId="0" fontId="25" fillId="0" borderId="0" xfId="4" applyFont="1" applyAlignment="1"/>
    <xf numFmtId="0" fontId="27" fillId="16" borderId="0" xfId="4" applyFont="1" applyFill="1" applyAlignment="1">
      <alignment horizontal="left" wrapText="1"/>
    </xf>
    <xf numFmtId="0" fontId="28" fillId="0" borderId="0" xfId="4" applyFont="1" applyAlignment="1"/>
    <xf numFmtId="0" fontId="21" fillId="8" borderId="0" xfId="4" applyFont="1" applyFill="1" applyAlignment="1">
      <alignment horizontal="center" vertical="center" wrapText="1"/>
    </xf>
    <xf numFmtId="0" fontId="22" fillId="16" borderId="0" xfId="4" applyFont="1" applyFill="1" applyAlignment="1">
      <alignment horizontal="center" vertical="center" wrapText="1"/>
    </xf>
    <xf numFmtId="0" fontId="21" fillId="16" borderId="0" xfId="4" applyFont="1" applyFill="1" applyBorder="1" applyAlignment="1">
      <alignment horizontal="center" vertical="center" wrapText="1"/>
    </xf>
    <xf numFmtId="0" fontId="21" fillId="16" borderId="0" xfId="4" applyFont="1" applyFill="1" applyBorder="1" applyAlignment="1">
      <alignment vertical="center" wrapText="1"/>
    </xf>
    <xf numFmtId="0" fontId="21" fillId="16" borderId="0" xfId="4" applyFont="1" applyFill="1" applyBorder="1" applyAlignment="1">
      <alignment horizontal="left" vertical="center" wrapText="1"/>
    </xf>
    <xf numFmtId="0" fontId="22" fillId="16" borderId="0" xfId="4" applyFont="1" applyFill="1" applyAlignment="1">
      <alignment vertical="center" wrapText="1"/>
    </xf>
    <xf numFmtId="0" fontId="22" fillId="16" borderId="0" xfId="5" applyFont="1" applyFill="1" applyAlignment="1" applyProtection="1">
      <alignment horizontal="center" vertical="center" wrapText="1"/>
    </xf>
    <xf numFmtId="0" fontId="30" fillId="16" borderId="17" xfId="4" applyFont="1" applyFill="1" applyBorder="1" applyAlignment="1">
      <alignment horizontal="center" vertical="center"/>
    </xf>
    <xf numFmtId="0" fontId="30" fillId="16" borderId="18" xfId="4" applyFont="1" applyFill="1" applyBorder="1" applyAlignment="1">
      <alignment horizontal="center" vertical="center"/>
    </xf>
    <xf numFmtId="0" fontId="31" fillId="18" borderId="17" xfId="4" applyFont="1" applyFill="1" applyBorder="1" applyAlignment="1">
      <alignment horizontal="center" vertical="center" wrapText="1"/>
    </xf>
    <xf numFmtId="0" fontId="11" fillId="0" borderId="0" xfId="4" applyFont="1"/>
    <xf numFmtId="0" fontId="19" fillId="16" borderId="17" xfId="4" applyFont="1" applyFill="1" applyBorder="1" applyAlignment="1">
      <alignment horizontal="center" vertical="center"/>
    </xf>
    <xf numFmtId="0" fontId="19" fillId="16" borderId="18" xfId="4" applyFont="1" applyFill="1" applyBorder="1" applyAlignment="1">
      <alignment horizontal="center" vertical="center" wrapText="1"/>
    </xf>
    <xf numFmtId="4" fontId="19" fillId="16" borderId="18" xfId="4" applyNumberFormat="1" applyFont="1" applyFill="1" applyBorder="1" applyAlignment="1">
      <alignment horizontal="right" vertical="center" wrapText="1"/>
    </xf>
    <xf numFmtId="4" fontId="19" fillId="0" borderId="0" xfId="4" applyNumberFormat="1" applyFont="1"/>
    <xf numFmtId="0" fontId="19" fillId="0" borderId="0" xfId="4" applyFont="1"/>
    <xf numFmtId="173" fontId="19" fillId="0" borderId="0" xfId="4" applyNumberFormat="1" applyFont="1"/>
    <xf numFmtId="0" fontId="32" fillId="19" borderId="13" xfId="4" applyFont="1" applyFill="1" applyBorder="1" applyAlignment="1">
      <alignment horizontal="center" vertical="center" wrapText="1"/>
    </xf>
    <xf numFmtId="3" fontId="32" fillId="19" borderId="17" xfId="4" applyNumberFormat="1" applyFont="1" applyFill="1" applyBorder="1" applyAlignment="1">
      <alignment horizontal="center" vertical="center" wrapText="1"/>
    </xf>
    <xf numFmtId="3" fontId="32" fillId="19" borderId="18" xfId="4" applyNumberFormat="1" applyFont="1" applyFill="1" applyBorder="1" applyAlignment="1">
      <alignment horizontal="center" vertical="center" wrapText="1"/>
    </xf>
    <xf numFmtId="4" fontId="32" fillId="19" borderId="17" xfId="4" applyNumberFormat="1" applyFont="1" applyFill="1" applyBorder="1" applyAlignment="1">
      <alignment horizontal="right" vertical="center"/>
    </xf>
    <xf numFmtId="4" fontId="32" fillId="19" borderId="55" xfId="4" applyNumberFormat="1" applyFont="1" applyFill="1" applyBorder="1" applyAlignment="1">
      <alignment horizontal="right" vertical="center"/>
    </xf>
    <xf numFmtId="0" fontId="33" fillId="0" borderId="13" xfId="4" applyFont="1" applyBorder="1" applyAlignment="1">
      <alignment horizontal="center" vertical="center"/>
    </xf>
    <xf numFmtId="0" fontId="34" fillId="0" borderId="0" xfId="4" applyFont="1"/>
    <xf numFmtId="0" fontId="33" fillId="0" borderId="33" xfId="4" applyFont="1" applyBorder="1" applyAlignment="1">
      <alignment horizontal="center" vertical="center"/>
    </xf>
    <xf numFmtId="4" fontId="32" fillId="0" borderId="17" xfId="4" applyNumberFormat="1" applyFont="1" applyFill="1" applyBorder="1" applyAlignment="1">
      <alignment horizontal="center" vertical="center" wrapText="1"/>
    </xf>
    <xf numFmtId="0" fontId="32" fillId="0" borderId="13" xfId="4" applyFont="1" applyBorder="1" applyAlignment="1">
      <alignment horizontal="center" vertical="center"/>
    </xf>
    <xf numFmtId="0" fontId="32" fillId="0" borderId="17" xfId="4" applyFont="1" applyBorder="1" applyAlignment="1">
      <alignment horizontal="center" vertical="center" wrapText="1"/>
    </xf>
    <xf numFmtId="0" fontId="33" fillId="0" borderId="18" xfId="4" applyFont="1" applyBorder="1" applyAlignment="1">
      <alignment horizontal="center" vertical="center"/>
    </xf>
    <xf numFmtId="4" fontId="32" fillId="0" borderId="17" xfId="4" applyNumberFormat="1" applyFont="1" applyBorder="1" applyAlignment="1">
      <alignment horizontal="center" vertical="center"/>
    </xf>
    <xf numFmtId="4" fontId="32" fillId="0" borderId="18" xfId="4" applyNumberFormat="1" applyFont="1" applyBorder="1" applyAlignment="1">
      <alignment horizontal="center" vertical="center"/>
    </xf>
    <xf numFmtId="4" fontId="11" fillId="0" borderId="0" xfId="4" applyNumberFormat="1" applyFont="1"/>
    <xf numFmtId="0" fontId="32" fillId="0" borderId="18" xfId="4" applyFont="1" applyBorder="1" applyAlignment="1">
      <alignment horizontal="center" vertical="center"/>
    </xf>
    <xf numFmtId="0" fontId="32" fillId="0" borderId="33" xfId="4" applyFont="1" applyBorder="1" applyAlignment="1">
      <alignment horizontal="center" vertical="center"/>
    </xf>
    <xf numFmtId="0" fontId="32" fillId="0" borderId="0" xfId="4" applyFont="1" applyBorder="1" applyAlignment="1">
      <alignment horizontal="center" vertical="center"/>
    </xf>
    <xf numFmtId="0" fontId="22" fillId="0" borderId="0" xfId="4" applyFont="1" applyAlignment="1"/>
    <xf numFmtId="0" fontId="22" fillId="0" borderId="28" xfId="4" applyFont="1" applyBorder="1" applyAlignment="1"/>
    <xf numFmtId="0" fontId="20" fillId="0" borderId="0" xfId="4" applyFont="1" applyAlignment="1">
      <alignment vertical="center"/>
    </xf>
    <xf numFmtId="0" fontId="21" fillId="16" borderId="18" xfId="4" applyFont="1" applyFill="1" applyBorder="1" applyAlignment="1">
      <alignment horizontal="center" vertical="center" wrapText="1"/>
    </xf>
    <xf numFmtId="0" fontId="22" fillId="16" borderId="0" xfId="4" applyFont="1" applyFill="1" applyBorder="1" applyAlignment="1">
      <alignment horizontal="justify" vertical="center" wrapText="1"/>
    </xf>
    <xf numFmtId="0" fontId="20" fillId="0" borderId="0" xfId="4" applyFont="1" applyBorder="1"/>
    <xf numFmtId="0" fontId="21" fillId="16" borderId="0" xfId="4" applyFont="1" applyFill="1" applyBorder="1" applyAlignment="1">
      <alignment horizontal="justify" vertical="justify" wrapText="1"/>
    </xf>
    <xf numFmtId="0" fontId="21" fillId="16" borderId="49" xfId="4" applyFont="1" applyFill="1" applyBorder="1" applyAlignment="1">
      <alignment horizontal="justify" vertical="justify" wrapText="1"/>
    </xf>
    <xf numFmtId="0" fontId="22" fillId="16" borderId="0" xfId="4" applyFont="1" applyFill="1" applyBorder="1" applyAlignment="1">
      <alignment horizontal="center" vertical="center" wrapText="1"/>
    </xf>
    <xf numFmtId="0" fontId="21" fillId="16" borderId="32" xfId="4" applyFont="1" applyFill="1" applyBorder="1" applyAlignment="1">
      <alignment horizontal="justify" vertical="justify" wrapText="1"/>
    </xf>
    <xf numFmtId="0" fontId="21" fillId="16" borderId="28" xfId="4" applyFont="1" applyFill="1" applyBorder="1" applyAlignment="1">
      <alignment horizontal="justify" vertical="justify" wrapText="1"/>
    </xf>
    <xf numFmtId="0" fontId="20" fillId="0" borderId="28" xfId="4" applyFont="1" applyBorder="1"/>
    <xf numFmtId="0" fontId="21" fillId="16" borderId="30" xfId="4" applyFont="1" applyFill="1" applyBorder="1" applyAlignment="1">
      <alignment horizontal="justify" vertical="justify" wrapText="1"/>
    </xf>
    <xf numFmtId="0" fontId="35" fillId="20" borderId="0" xfId="4" applyFont="1" applyFill="1" applyBorder="1" applyAlignment="1">
      <alignment vertical="center" wrapText="1"/>
    </xf>
    <xf numFmtId="0" fontId="36" fillId="20" borderId="0" xfId="4" applyFont="1" applyFill="1" applyBorder="1" applyAlignment="1">
      <alignment vertical="center"/>
    </xf>
    <xf numFmtId="0" fontId="19" fillId="0" borderId="0" xfId="4" applyAlignment="1">
      <alignment vertical="center"/>
    </xf>
    <xf numFmtId="0" fontId="37" fillId="22" borderId="57" xfId="4" applyFont="1" applyFill="1" applyBorder="1" applyAlignment="1">
      <alignment horizontal="left" vertical="center" wrapText="1"/>
    </xf>
    <xf numFmtId="9" fontId="38" fillId="22" borderId="58" xfId="6" applyFont="1" applyFill="1" applyBorder="1" applyAlignment="1" applyProtection="1">
      <alignment horizontal="center" vertical="center"/>
    </xf>
    <xf numFmtId="0" fontId="19" fillId="0" borderId="0" xfId="4" applyFont="1" applyAlignment="1">
      <alignment vertical="center"/>
    </xf>
    <xf numFmtId="0" fontId="35" fillId="23" borderId="57" xfId="4" applyFont="1" applyFill="1" applyBorder="1" applyAlignment="1">
      <alignment vertical="center" wrapText="1"/>
    </xf>
    <xf numFmtId="10" fontId="38" fillId="23" borderId="59" xfId="6" applyNumberFormat="1" applyFont="1" applyFill="1" applyBorder="1" applyAlignment="1" applyProtection="1">
      <alignment vertical="center"/>
    </xf>
    <xf numFmtId="0" fontId="39" fillId="20" borderId="60" xfId="4" applyFont="1" applyFill="1" applyBorder="1" applyAlignment="1">
      <alignment vertical="center" wrapText="1"/>
    </xf>
    <xf numFmtId="0" fontId="39" fillId="20" borderId="62" xfId="4" applyFont="1" applyFill="1" applyBorder="1" applyAlignment="1">
      <alignment vertical="center" wrapText="1"/>
    </xf>
    <xf numFmtId="10" fontId="40" fillId="20" borderId="63" xfId="4" applyNumberFormat="1" applyFont="1" applyFill="1" applyBorder="1" applyAlignment="1">
      <alignment vertical="center"/>
    </xf>
    <xf numFmtId="2" fontId="41" fillId="0" borderId="0" xfId="4" applyNumberFormat="1" applyFont="1" applyAlignment="1">
      <alignment vertical="center"/>
    </xf>
    <xf numFmtId="0" fontId="41" fillId="0" borderId="0" xfId="4" applyFont="1" applyAlignment="1">
      <alignment vertical="center"/>
    </xf>
    <xf numFmtId="0" fontId="35" fillId="24" borderId="57" xfId="4" applyFont="1" applyFill="1" applyBorder="1" applyAlignment="1">
      <alignment horizontal="center" vertical="center" wrapText="1"/>
    </xf>
    <xf numFmtId="10" fontId="40" fillId="24" borderId="59" xfId="4" applyNumberFormat="1" applyFont="1" applyFill="1" applyBorder="1" applyAlignment="1">
      <alignment vertical="center"/>
    </xf>
    <xf numFmtId="10" fontId="19" fillId="0" borderId="0" xfId="4" applyNumberFormat="1" applyFont="1" applyAlignment="1">
      <alignment vertical="center"/>
    </xf>
    <xf numFmtId="0" fontId="35" fillId="18" borderId="57" xfId="4" applyFont="1" applyFill="1" applyBorder="1" applyAlignment="1">
      <alignment horizontal="center" vertical="center" wrapText="1"/>
    </xf>
    <xf numFmtId="10" fontId="40" fillId="18" borderId="58" xfId="4" applyNumberFormat="1" applyFont="1" applyFill="1" applyBorder="1" applyAlignment="1">
      <alignment vertical="center"/>
    </xf>
    <xf numFmtId="0" fontId="19" fillId="16" borderId="0" xfId="4" applyFont="1" applyFill="1" applyAlignment="1">
      <alignment vertical="center"/>
    </xf>
    <xf numFmtId="10" fontId="19" fillId="16" borderId="0" xfId="4" applyNumberFormat="1" applyFont="1" applyFill="1" applyAlignment="1">
      <alignment vertical="center"/>
    </xf>
    <xf numFmtId="0" fontId="39" fillId="20" borderId="64" xfId="4" applyFont="1" applyFill="1" applyBorder="1" applyAlignment="1">
      <alignment vertical="center" wrapText="1"/>
    </xf>
    <xf numFmtId="10" fontId="40" fillId="20" borderId="65" xfId="6" applyNumberFormat="1" applyFont="1" applyFill="1" applyBorder="1" applyAlignment="1" applyProtection="1">
      <alignment vertical="center"/>
    </xf>
    <xf numFmtId="10" fontId="42" fillId="24" borderId="59" xfId="4" applyNumberFormat="1" applyFont="1" applyFill="1" applyBorder="1" applyAlignment="1">
      <alignment vertical="center"/>
    </xf>
    <xf numFmtId="10" fontId="41" fillId="0" borderId="0" xfId="4" applyNumberFormat="1" applyFont="1" applyAlignment="1">
      <alignment vertical="center"/>
    </xf>
    <xf numFmtId="0" fontId="19" fillId="20" borderId="0" xfId="4" applyFill="1" applyBorder="1" applyAlignment="1">
      <alignment vertical="center"/>
    </xf>
    <xf numFmtId="0" fontId="39" fillId="0" borderId="64" xfId="4" applyFont="1" applyFill="1" applyBorder="1" applyAlignment="1">
      <alignment vertical="center" wrapText="1"/>
    </xf>
    <xf numFmtId="0" fontId="39" fillId="18" borderId="64" xfId="4" applyFont="1" applyFill="1" applyBorder="1" applyAlignment="1">
      <alignment vertical="center" wrapText="1"/>
    </xf>
    <xf numFmtId="10" fontId="40" fillId="18" borderId="65" xfId="6" applyNumberFormat="1" applyFont="1" applyFill="1" applyBorder="1" applyAlignment="1" applyProtection="1">
      <alignment vertical="center"/>
    </xf>
    <xf numFmtId="0" fontId="19" fillId="16" borderId="0" xfId="4" applyFill="1" applyAlignment="1">
      <alignment vertical="center"/>
    </xf>
    <xf numFmtId="0" fontId="35" fillId="20" borderId="57" xfId="4" applyFont="1" applyFill="1" applyBorder="1" applyAlignment="1">
      <alignment vertical="center" wrapText="1"/>
    </xf>
    <xf numFmtId="10" fontId="42" fillId="20" borderId="59" xfId="4" applyNumberFormat="1" applyFont="1" applyFill="1" applyBorder="1" applyAlignment="1">
      <alignment vertical="center"/>
    </xf>
    <xf numFmtId="10" fontId="40" fillId="20" borderId="58" xfId="4" applyNumberFormat="1" applyFont="1" applyFill="1" applyBorder="1" applyAlignment="1">
      <alignment vertical="center"/>
    </xf>
    <xf numFmtId="0" fontId="44" fillId="20" borderId="64" xfId="4" applyFont="1" applyFill="1" applyBorder="1" applyAlignment="1">
      <alignment vertical="center" wrapText="1"/>
    </xf>
    <xf numFmtId="0" fontId="39" fillId="20" borderId="62" xfId="4" applyFont="1" applyFill="1" applyBorder="1" applyAlignment="1">
      <alignment horizontal="center" vertical="center" wrapText="1"/>
    </xf>
    <xf numFmtId="0" fontId="39" fillId="20" borderId="66" xfId="4" applyFont="1" applyFill="1" applyBorder="1" applyAlignment="1">
      <alignment horizontal="center" vertical="center" wrapText="1"/>
    </xf>
    <xf numFmtId="10" fontId="40" fillId="20" borderId="67" xfId="4" applyNumberFormat="1" applyFont="1" applyFill="1" applyBorder="1" applyAlignment="1">
      <alignment vertical="center"/>
    </xf>
    <xf numFmtId="0" fontId="37" fillId="22" borderId="1" xfId="4" applyFont="1" applyFill="1" applyBorder="1" applyAlignment="1">
      <alignment vertical="center" wrapText="1"/>
    </xf>
    <xf numFmtId="10" fontId="37" fillId="22" borderId="4" xfId="4" applyNumberFormat="1" applyFont="1" applyFill="1" applyBorder="1" applyAlignment="1">
      <alignment vertical="center" wrapText="1"/>
    </xf>
    <xf numFmtId="10" fontId="19" fillId="16" borderId="0" xfId="4" applyNumberFormat="1" applyFill="1" applyAlignment="1">
      <alignment vertical="center"/>
    </xf>
    <xf numFmtId="0" fontId="19" fillId="0" borderId="0" xfId="4" applyFont="1" applyBorder="1" applyAlignment="1">
      <alignment vertical="center"/>
    </xf>
    <xf numFmtId="0" fontId="19" fillId="0" borderId="0" xfId="4" applyBorder="1" applyAlignment="1">
      <alignment vertical="center"/>
    </xf>
    <xf numFmtId="10" fontId="19" fillId="0" borderId="0" xfId="6" applyNumberFormat="1" applyBorder="1" applyAlignment="1">
      <alignment vertical="center"/>
    </xf>
    <xf numFmtId="0" fontId="19" fillId="0" borderId="65" xfId="4" applyFont="1" applyBorder="1" applyAlignment="1">
      <alignment vertical="center"/>
    </xf>
    <xf numFmtId="10" fontId="40" fillId="20" borderId="65" xfId="4" applyNumberFormat="1" applyFont="1" applyFill="1" applyBorder="1" applyAlignment="1">
      <alignment vertical="center"/>
    </xf>
    <xf numFmtId="0" fontId="39" fillId="16" borderId="64" xfId="4" applyFont="1" applyFill="1" applyBorder="1" applyAlignment="1">
      <alignment vertical="center" wrapText="1"/>
    </xf>
    <xf numFmtId="0" fontId="39" fillId="0" borderId="64" xfId="4" applyFont="1" applyFill="1" applyBorder="1" applyAlignment="1">
      <alignment horizontal="justify" vertical="justify" wrapText="1"/>
    </xf>
    <xf numFmtId="10" fontId="19" fillId="0" borderId="0" xfId="4" applyNumberFormat="1" applyFont="1" applyBorder="1" applyAlignment="1">
      <alignment vertical="center"/>
    </xf>
    <xf numFmtId="4" fontId="5" fillId="0" borderId="0" xfId="0" applyNumberFormat="1" applyFont="1" applyAlignment="1">
      <alignment vertical="center" wrapText="1"/>
    </xf>
    <xf numFmtId="0" fontId="8" fillId="5" borderId="8" xfId="0" applyFont="1" applyFill="1" applyBorder="1" applyAlignment="1">
      <alignment vertical="center"/>
    </xf>
    <xf numFmtId="0" fontId="8" fillId="5" borderId="9" xfId="0" applyFont="1" applyFill="1" applyBorder="1" applyAlignment="1">
      <alignment vertical="center"/>
    </xf>
    <xf numFmtId="10" fontId="8" fillId="5" borderId="15" xfId="0" applyNumberFormat="1" applyFont="1" applyFill="1" applyBorder="1" applyAlignment="1">
      <alignment vertical="center"/>
    </xf>
    <xf numFmtId="0" fontId="8" fillId="7" borderId="8" xfId="0" applyFont="1" applyFill="1" applyBorder="1" applyAlignment="1">
      <alignment vertical="center"/>
    </xf>
    <xf numFmtId="0" fontId="8" fillId="7" borderId="9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10" fontId="8" fillId="0" borderId="19" xfId="0" applyNumberFormat="1" applyFont="1" applyFill="1" applyBorder="1" applyAlignment="1">
      <alignment vertical="center"/>
    </xf>
    <xf numFmtId="165" fontId="5" fillId="0" borderId="0" xfId="0" applyNumberFormat="1" applyFont="1" applyAlignment="1">
      <alignment vertical="center" wrapText="1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168" fontId="17" fillId="0" borderId="17" xfId="0" applyNumberFormat="1" applyFont="1" applyFill="1" applyBorder="1"/>
    <xf numFmtId="168" fontId="17" fillId="0" borderId="17" xfId="0" applyNumberFormat="1" applyFont="1" applyBorder="1"/>
    <xf numFmtId="10" fontId="40" fillId="18" borderId="65" xfId="1" applyNumberFormat="1" applyFont="1" applyFill="1" applyBorder="1" applyAlignment="1" applyProtection="1">
      <alignment vertical="center"/>
    </xf>
    <xf numFmtId="10" fontId="40" fillId="18" borderId="61" xfId="6" applyNumberFormat="1" applyFont="1" applyFill="1" applyBorder="1" applyAlignment="1" applyProtection="1">
      <alignment vertical="center"/>
    </xf>
    <xf numFmtId="10" fontId="40" fillId="18" borderId="63" xfId="4" applyNumberFormat="1" applyFont="1" applyFill="1" applyBorder="1" applyAlignment="1">
      <alignment vertical="center"/>
    </xf>
    <xf numFmtId="10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4" fillId="0" borderId="0" xfId="0" applyFont="1" applyAlignment="1" applyProtection="1">
      <alignment horizontal="center" vertical="center"/>
    </xf>
    <xf numFmtId="168" fontId="3" fillId="14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15" fillId="6" borderId="39" xfId="0" applyFont="1" applyFill="1" applyBorder="1" applyAlignment="1" applyProtection="1">
      <alignment horizontal="center" vertical="center"/>
    </xf>
    <xf numFmtId="10" fontId="3" fillId="2" borderId="0" xfId="1" applyNumberFormat="1" applyFont="1" applyFill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18" fillId="0" borderId="5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3" fillId="7" borderId="0" xfId="0" applyFont="1" applyFill="1" applyBorder="1" applyAlignment="1" applyProtection="1">
      <alignment horizontal="center" vertical="center"/>
    </xf>
    <xf numFmtId="0" fontId="50" fillId="5" borderId="0" xfId="0" applyFont="1" applyFill="1" applyBorder="1" applyAlignment="1" applyProtection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168" fontId="5" fillId="2" borderId="68" xfId="0" applyNumberFormat="1" applyFont="1" applyFill="1" applyBorder="1" applyAlignment="1" applyProtection="1">
      <alignment horizontal="center" vertical="center"/>
      <protection locked="0"/>
    </xf>
    <xf numFmtId="0" fontId="5" fillId="0" borderId="44" xfId="0" applyFont="1" applyBorder="1" applyAlignment="1">
      <alignment horizontal="left" vertical="center"/>
    </xf>
    <xf numFmtId="10" fontId="5" fillId="0" borderId="15" xfId="0" applyNumberFormat="1" applyFont="1" applyBorder="1" applyAlignment="1">
      <alignment horizontal="center" vertical="center"/>
    </xf>
    <xf numFmtId="168" fontId="5" fillId="2" borderId="43" xfId="0" applyNumberFormat="1" applyFont="1" applyFill="1" applyBorder="1" applyAlignment="1" applyProtection="1">
      <alignment horizontal="center" vertical="center"/>
      <protection locked="0"/>
    </xf>
    <xf numFmtId="167" fontId="0" fillId="0" borderId="0" xfId="3" applyFont="1"/>
    <xf numFmtId="0" fontId="3" fillId="16" borderId="0" xfId="0" applyFont="1" applyFill="1" applyAlignment="1" applyProtection="1">
      <alignment horizontal="center" vertical="center" wrapText="1"/>
      <protection locked="0"/>
    </xf>
    <xf numFmtId="168" fontId="5" fillId="0" borderId="68" xfId="0" applyNumberFormat="1" applyFont="1" applyBorder="1" applyAlignment="1">
      <alignment horizontal="center" vertical="center"/>
    </xf>
    <xf numFmtId="0" fontId="18" fillId="0" borderId="72" xfId="0" applyFont="1" applyBorder="1" applyAlignment="1">
      <alignment horizontal="left" vertical="center"/>
    </xf>
    <xf numFmtId="168" fontId="8" fillId="7" borderId="14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7" fillId="12" borderId="17" xfId="0" applyFont="1" applyFill="1" applyBorder="1" applyAlignment="1" applyProtection="1">
      <alignment horizontal="center" vertical="center"/>
    </xf>
    <xf numFmtId="0" fontId="3" fillId="5" borderId="17" xfId="0" applyFont="1" applyFill="1" applyBorder="1" applyAlignment="1" applyProtection="1">
      <alignment horizontal="center" vertical="center"/>
    </xf>
    <xf numFmtId="3" fontId="3" fillId="14" borderId="17" xfId="0" applyNumberFormat="1" applyFont="1" applyFill="1" applyBorder="1" applyAlignment="1" applyProtection="1">
      <alignment horizontal="center" vertical="center" wrapText="1"/>
    </xf>
    <xf numFmtId="174" fontId="3" fillId="14" borderId="17" xfId="0" applyNumberFormat="1" applyFont="1" applyFill="1" applyBorder="1" applyAlignment="1" applyProtection="1">
      <alignment horizontal="center" vertical="center" wrapText="1"/>
    </xf>
    <xf numFmtId="0" fontId="13" fillId="5" borderId="17" xfId="0" applyFont="1" applyFill="1" applyBorder="1" applyAlignment="1" applyProtection="1">
      <alignment horizontal="center" vertical="center" wrapText="1"/>
    </xf>
    <xf numFmtId="10" fontId="13" fillId="14" borderId="17" xfId="1" applyNumberFormat="1" applyFont="1" applyFill="1" applyBorder="1" applyAlignment="1" applyProtection="1">
      <alignment horizontal="center" vertical="center" wrapText="1"/>
    </xf>
    <xf numFmtId="168" fontId="15" fillId="13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15" fillId="6" borderId="0" xfId="0" applyFont="1" applyFill="1" applyBorder="1" applyAlignment="1" applyProtection="1">
      <alignment horizontal="center" vertical="center"/>
    </xf>
    <xf numFmtId="168" fontId="15" fillId="6" borderId="0" xfId="0" applyNumberFormat="1" applyFont="1" applyFill="1" applyBorder="1" applyAlignment="1" applyProtection="1">
      <alignment horizontal="center" vertical="center"/>
    </xf>
    <xf numFmtId="0" fontId="15" fillId="6" borderId="39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7" fillId="15" borderId="17" xfId="0" applyFont="1" applyFill="1" applyBorder="1" applyAlignment="1" applyProtection="1">
      <alignment horizontal="center" vertical="center"/>
    </xf>
    <xf numFmtId="0" fontId="14" fillId="25" borderId="37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9" fillId="11" borderId="0" xfId="0" applyFont="1" applyFill="1" applyBorder="1" applyAlignment="1">
      <alignment horizontal="center" vertical="center"/>
    </xf>
    <xf numFmtId="0" fontId="11" fillId="16" borderId="17" xfId="0" applyFont="1" applyFill="1" applyBorder="1" applyAlignment="1">
      <alignment horizontal="center" vertical="center" wrapText="1"/>
    </xf>
    <xf numFmtId="168" fontId="11" fillId="0" borderId="17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horizontal="center" vertical="center" wrapText="1"/>
    </xf>
    <xf numFmtId="168" fontId="0" fillId="0" borderId="33" xfId="0" applyNumberFormat="1" applyBorder="1"/>
    <xf numFmtId="168" fontId="17" fillId="0" borderId="33" xfId="0" applyNumberFormat="1" applyFont="1" applyBorder="1"/>
    <xf numFmtId="10" fontId="0" fillId="0" borderId="0" xfId="0" applyNumberFormat="1"/>
    <xf numFmtId="0" fontId="0" fillId="0" borderId="0" xfId="0" applyBorder="1"/>
    <xf numFmtId="2" fontId="5" fillId="0" borderId="33" xfId="0" applyNumberFormat="1" applyFont="1" applyBorder="1" applyAlignment="1">
      <alignment horizontal="center" vertical="center"/>
    </xf>
    <xf numFmtId="2" fontId="8" fillId="5" borderId="73" xfId="0" applyNumberFormat="1" applyFont="1" applyFill="1" applyBorder="1" applyAlignment="1">
      <alignment horizontal="center" vertical="center"/>
    </xf>
    <xf numFmtId="2" fontId="5" fillId="0" borderId="17" xfId="0" applyNumberFormat="1" applyFont="1" applyBorder="1" applyAlignment="1">
      <alignment horizontal="center" vertical="center"/>
    </xf>
    <xf numFmtId="2" fontId="5" fillId="0" borderId="32" xfId="0" applyNumberFormat="1" applyFont="1" applyBorder="1" applyAlignment="1">
      <alignment horizontal="center" vertical="center"/>
    </xf>
    <xf numFmtId="2" fontId="8" fillId="5" borderId="74" xfId="0" applyNumberFormat="1" applyFont="1" applyFill="1" applyBorder="1" applyAlignment="1">
      <alignment horizontal="center" vertical="center"/>
    </xf>
    <xf numFmtId="168" fontId="3" fillId="0" borderId="0" xfId="0" applyNumberFormat="1" applyFont="1" applyAlignment="1" applyProtection="1">
      <alignment horizontal="center" vertical="center" wrapText="1"/>
    </xf>
    <xf numFmtId="168" fontId="5" fillId="0" borderId="75" xfId="0" applyNumberFormat="1" applyFont="1" applyBorder="1" applyAlignment="1">
      <alignment horizontal="center" vertical="center"/>
    </xf>
    <xf numFmtId="168" fontId="8" fillId="7" borderId="75" xfId="0" applyNumberFormat="1" applyFont="1" applyFill="1" applyBorder="1" applyAlignment="1">
      <alignment horizontal="center" vertical="center"/>
    </xf>
    <xf numFmtId="10" fontId="8" fillId="7" borderId="22" xfId="0" applyNumberFormat="1" applyFont="1" applyFill="1" applyBorder="1" applyAlignment="1">
      <alignment horizontal="center" vertical="center"/>
    </xf>
    <xf numFmtId="168" fontId="8" fillId="7" borderId="45" xfId="0" applyNumberFormat="1" applyFont="1" applyFill="1" applyBorder="1" applyAlignment="1">
      <alignment horizontal="center" vertical="center"/>
    </xf>
    <xf numFmtId="168" fontId="8" fillId="5" borderId="43" xfId="0" applyNumberFormat="1" applyFont="1" applyFill="1" applyBorder="1" applyAlignment="1">
      <alignment horizontal="center" vertical="center"/>
    </xf>
    <xf numFmtId="168" fontId="17" fillId="17" borderId="17" xfId="0" applyNumberFormat="1" applyFont="1" applyFill="1" applyBorder="1"/>
    <xf numFmtId="168" fontId="0" fillId="17" borderId="17" xfId="0" applyNumberFormat="1" applyFill="1" applyBorder="1"/>
    <xf numFmtId="4" fontId="4" fillId="0" borderId="0" xfId="0" applyNumberFormat="1" applyFont="1" applyAlignment="1" applyProtection="1">
      <alignment horizontal="center" vertical="center"/>
    </xf>
    <xf numFmtId="169" fontId="4" fillId="0" borderId="0" xfId="0" applyNumberFormat="1" applyFont="1" applyAlignment="1" applyProtection="1">
      <alignment horizontal="center" vertical="center"/>
    </xf>
    <xf numFmtId="169" fontId="4" fillId="0" borderId="0" xfId="0" applyNumberFormat="1" applyFont="1" applyAlignment="1" applyProtection="1">
      <alignment horizontal="center" vertical="center" wrapText="1"/>
    </xf>
    <xf numFmtId="0" fontId="21" fillId="8" borderId="0" xfId="4" applyFont="1" applyFill="1" applyAlignment="1">
      <alignment horizontal="center" vertical="center" wrapText="1"/>
    </xf>
    <xf numFmtId="0" fontId="23" fillId="0" borderId="0" xfId="4" applyFont="1" applyAlignment="1">
      <alignment horizontal="center" vertical="center"/>
    </xf>
    <xf numFmtId="0" fontId="24" fillId="16" borderId="0" xfId="4" applyFont="1" applyFill="1" applyAlignment="1">
      <alignment horizontal="left" wrapText="1"/>
    </xf>
    <xf numFmtId="0" fontId="26" fillId="16" borderId="0" xfId="4" applyFont="1" applyFill="1" applyAlignment="1">
      <alignment horizontal="left" wrapText="1"/>
    </xf>
    <xf numFmtId="0" fontId="27" fillId="16" borderId="0" xfId="4" applyFont="1" applyFill="1" applyAlignment="1">
      <alignment horizontal="left" wrapText="1"/>
    </xf>
    <xf numFmtId="0" fontId="22" fillId="16" borderId="0" xfId="4" applyFont="1" applyFill="1" applyAlignment="1">
      <alignment horizontal="center" vertical="center" wrapText="1"/>
    </xf>
    <xf numFmtId="0" fontId="21" fillId="16" borderId="33" xfId="4" applyFont="1" applyFill="1" applyBorder="1" applyAlignment="1">
      <alignment horizontal="center" vertical="center" wrapText="1"/>
    </xf>
    <xf numFmtId="0" fontId="21" fillId="16" borderId="13" xfId="4" applyFont="1" applyFill="1" applyBorder="1" applyAlignment="1">
      <alignment horizontal="center" vertical="center" wrapText="1"/>
    </xf>
    <xf numFmtId="0" fontId="21" fillId="16" borderId="18" xfId="4" applyFont="1" applyFill="1" applyBorder="1" applyAlignment="1">
      <alignment horizontal="center" vertical="center" wrapText="1"/>
    </xf>
    <xf numFmtId="0" fontId="21" fillId="16" borderId="29" xfId="4" applyFont="1" applyFill="1" applyBorder="1" applyAlignment="1">
      <alignment horizontal="left" vertical="center" wrapText="1"/>
    </xf>
    <xf numFmtId="0" fontId="21" fillId="16" borderId="0" xfId="4" applyFont="1" applyFill="1" applyBorder="1" applyAlignment="1">
      <alignment horizontal="left" vertical="center" wrapText="1"/>
    </xf>
    <xf numFmtId="0" fontId="33" fillId="0" borderId="33" xfId="4" applyFont="1" applyBorder="1" applyAlignment="1">
      <alignment horizontal="center" vertical="center"/>
    </xf>
    <xf numFmtId="0" fontId="33" fillId="0" borderId="13" xfId="4" applyFont="1" applyBorder="1" applyAlignment="1">
      <alignment horizontal="center" vertical="center"/>
    </xf>
    <xf numFmtId="0" fontId="22" fillId="16" borderId="0" xfId="4" applyFont="1" applyFill="1" applyAlignment="1">
      <alignment vertical="center" wrapText="1"/>
    </xf>
    <xf numFmtId="0" fontId="22" fillId="16" borderId="0" xfId="5" applyFont="1" applyFill="1" applyAlignment="1" applyProtection="1">
      <alignment horizontal="justify" vertical="center" wrapText="1"/>
    </xf>
    <xf numFmtId="0" fontId="22" fillId="16" borderId="0" xfId="4" applyFont="1" applyFill="1" applyAlignment="1">
      <alignment horizontal="justify" vertical="center" wrapText="1"/>
    </xf>
    <xf numFmtId="0" fontId="31" fillId="18" borderId="33" xfId="4" applyFont="1" applyFill="1" applyBorder="1" applyAlignment="1">
      <alignment horizontal="center" vertical="center" wrapText="1"/>
    </xf>
    <xf numFmtId="0" fontId="31" fillId="18" borderId="18" xfId="4" applyFont="1" applyFill="1" applyBorder="1" applyAlignment="1">
      <alignment horizontal="center" vertical="center" wrapText="1"/>
    </xf>
    <xf numFmtId="0" fontId="19" fillId="16" borderId="55" xfId="4" applyFont="1" applyFill="1" applyBorder="1" applyAlignment="1">
      <alignment horizontal="center" vertical="center"/>
    </xf>
    <xf numFmtId="0" fontId="19" fillId="16" borderId="50" xfId="4" applyFont="1" applyFill="1" applyBorder="1" applyAlignment="1">
      <alignment horizontal="center" vertical="center"/>
    </xf>
    <xf numFmtId="0" fontId="19" fillId="16" borderId="42" xfId="4" applyFont="1" applyFill="1" applyBorder="1" applyAlignment="1">
      <alignment horizontal="center" vertical="center"/>
    </xf>
    <xf numFmtId="0" fontId="19" fillId="16" borderId="33" xfId="4" applyFont="1" applyFill="1" applyBorder="1" applyAlignment="1">
      <alignment horizontal="center" vertical="center" wrapText="1"/>
    </xf>
    <xf numFmtId="0" fontId="19" fillId="16" borderId="18" xfId="4" applyFont="1" applyFill="1" applyBorder="1" applyAlignment="1">
      <alignment horizontal="center" vertical="center" wrapText="1"/>
    </xf>
    <xf numFmtId="0" fontId="32" fillId="19" borderId="33" xfId="4" applyFont="1" applyFill="1" applyBorder="1" applyAlignment="1">
      <alignment horizontal="center" vertical="center" wrapText="1"/>
    </xf>
    <xf numFmtId="0" fontId="32" fillId="19" borderId="13" xfId="4" applyFont="1" applyFill="1" applyBorder="1" applyAlignment="1">
      <alignment horizontal="center" vertical="center" wrapText="1"/>
    </xf>
    <xf numFmtId="0" fontId="22" fillId="0" borderId="0" xfId="4" applyFont="1" applyAlignment="1">
      <alignment horizontal="left"/>
    </xf>
    <xf numFmtId="0" fontId="32" fillId="0" borderId="17" xfId="4" applyFont="1" applyFill="1" applyBorder="1" applyAlignment="1">
      <alignment horizontal="center" vertical="center" wrapText="1"/>
    </xf>
    <xf numFmtId="0" fontId="32" fillId="0" borderId="33" xfId="4" applyFont="1" applyBorder="1" applyAlignment="1">
      <alignment horizontal="center" vertical="center"/>
    </xf>
    <xf numFmtId="0" fontId="32" fillId="0" borderId="13" xfId="4" applyFont="1" applyBorder="1" applyAlignment="1">
      <alignment horizontal="center" vertical="center"/>
    </xf>
    <xf numFmtId="0" fontId="33" fillId="0" borderId="18" xfId="4" applyFont="1" applyBorder="1" applyAlignment="1">
      <alignment horizontal="center" vertical="center"/>
    </xf>
    <xf numFmtId="0" fontId="32" fillId="0" borderId="17" xfId="4" applyFont="1" applyBorder="1" applyAlignment="1">
      <alignment horizontal="center" vertical="center" wrapText="1"/>
    </xf>
    <xf numFmtId="0" fontId="32" fillId="0" borderId="17" xfId="4" applyFont="1" applyBorder="1" applyAlignment="1">
      <alignment horizontal="center" vertical="center"/>
    </xf>
    <xf numFmtId="0" fontId="32" fillId="0" borderId="18" xfId="4" applyFont="1" applyBorder="1" applyAlignment="1">
      <alignment horizontal="center" vertical="center"/>
    </xf>
    <xf numFmtId="0" fontId="21" fillId="16" borderId="51" xfId="4" applyFont="1" applyFill="1" applyBorder="1" applyAlignment="1">
      <alignment horizontal="left" vertical="center" wrapText="1"/>
    </xf>
    <xf numFmtId="0" fontId="21" fillId="16" borderId="49" xfId="4" applyFont="1" applyFill="1" applyBorder="1" applyAlignment="1">
      <alignment horizontal="left" vertical="center" wrapText="1"/>
    </xf>
    <xf numFmtId="0" fontId="21" fillId="16" borderId="56" xfId="4" applyFont="1" applyFill="1" applyBorder="1" applyAlignment="1">
      <alignment horizontal="center" vertical="center" wrapText="1"/>
    </xf>
    <xf numFmtId="0" fontId="21" fillId="16" borderId="29" xfId="4" applyFont="1" applyFill="1" applyBorder="1" applyAlignment="1">
      <alignment horizontal="center" vertical="center" wrapText="1"/>
    </xf>
    <xf numFmtId="0" fontId="21" fillId="16" borderId="22" xfId="4" applyFont="1" applyFill="1" applyBorder="1" applyAlignment="1">
      <alignment horizontal="center" vertical="center" wrapText="1"/>
    </xf>
    <xf numFmtId="0" fontId="21" fillId="16" borderId="56" xfId="4" applyFont="1" applyFill="1" applyBorder="1" applyAlignment="1">
      <alignment horizontal="left" vertical="center" wrapText="1"/>
    </xf>
    <xf numFmtId="0" fontId="21" fillId="16" borderId="22" xfId="4" applyFont="1" applyFill="1" applyBorder="1" applyAlignment="1">
      <alignment horizontal="left" vertical="center" wrapText="1"/>
    </xf>
    <xf numFmtId="0" fontId="22" fillId="16" borderId="51" xfId="4" applyFont="1" applyFill="1" applyBorder="1" applyAlignment="1">
      <alignment horizontal="justify" vertical="center" wrapText="1"/>
    </xf>
    <xf numFmtId="0" fontId="22" fillId="16" borderId="0" xfId="4" applyFont="1" applyFill="1" applyBorder="1" applyAlignment="1">
      <alignment horizontal="justify" vertical="center" wrapText="1"/>
    </xf>
    <xf numFmtId="0" fontId="22" fillId="16" borderId="51" xfId="4" applyFont="1" applyFill="1" applyBorder="1" applyAlignment="1">
      <alignment horizontal="center" vertical="center" wrapText="1"/>
    </xf>
    <xf numFmtId="0" fontId="22" fillId="16" borderId="0" xfId="4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168" fontId="3" fillId="0" borderId="0" xfId="0" applyNumberFormat="1" applyFont="1" applyAlignment="1" applyProtection="1">
      <alignment horizontal="center" vertical="center"/>
    </xf>
    <xf numFmtId="0" fontId="13" fillId="13" borderId="0" xfId="0" applyFont="1" applyFill="1" applyAlignment="1" applyProtection="1">
      <alignment horizontal="center" vertical="center"/>
    </xf>
    <xf numFmtId="0" fontId="13" fillId="13" borderId="46" xfId="0" applyFont="1" applyFill="1" applyBorder="1" applyAlignment="1" applyProtection="1">
      <alignment horizontal="center" vertical="center"/>
    </xf>
    <xf numFmtId="168" fontId="15" fillId="13" borderId="48" xfId="0" applyNumberFormat="1" applyFont="1" applyFill="1" applyBorder="1" applyAlignment="1" applyProtection="1">
      <alignment horizontal="center" vertical="center"/>
    </xf>
    <xf numFmtId="168" fontId="15" fillId="13" borderId="0" xfId="0" applyNumberFormat="1" applyFont="1" applyFill="1" applyBorder="1" applyAlignment="1" applyProtection="1">
      <alignment horizontal="center" vertical="center"/>
    </xf>
    <xf numFmtId="0" fontId="7" fillId="12" borderId="33" xfId="0" applyFont="1" applyFill="1" applyBorder="1" applyAlignment="1" applyProtection="1">
      <alignment horizontal="center" vertical="center"/>
    </xf>
    <xf numFmtId="0" fontId="7" fillId="12" borderId="13" xfId="0" applyFont="1" applyFill="1" applyBorder="1" applyAlignment="1" applyProtection="1">
      <alignment horizontal="center" vertical="center"/>
    </xf>
    <xf numFmtId="0" fontId="13" fillId="0" borderId="47" xfId="0" applyFont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168" fontId="3" fillId="14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15" fillId="6" borderId="0" xfId="0" applyFont="1" applyFill="1" applyBorder="1" applyAlignment="1" applyProtection="1">
      <alignment horizontal="center" vertical="center"/>
    </xf>
    <xf numFmtId="0" fontId="15" fillId="6" borderId="36" xfId="0" applyFont="1" applyFill="1" applyBorder="1" applyAlignment="1" applyProtection="1">
      <alignment horizontal="center" vertical="center"/>
    </xf>
    <xf numFmtId="0" fontId="15" fillId="6" borderId="39" xfId="0" applyFont="1" applyFill="1" applyBorder="1" applyAlignment="1" applyProtection="1">
      <alignment horizontal="center" vertical="center"/>
    </xf>
    <xf numFmtId="0" fontId="7" fillId="15" borderId="33" xfId="0" applyFont="1" applyFill="1" applyBorder="1" applyAlignment="1" applyProtection="1">
      <alignment horizontal="center" vertical="center" wrapText="1"/>
    </xf>
    <xf numFmtId="0" fontId="7" fillId="15" borderId="13" xfId="0" applyFont="1" applyFill="1" applyBorder="1" applyAlignment="1" applyProtection="1">
      <alignment horizontal="center" vertical="center" wrapText="1"/>
    </xf>
    <xf numFmtId="0" fontId="37" fillId="21" borderId="57" xfId="4" applyFont="1" applyFill="1" applyBorder="1" applyAlignment="1">
      <alignment horizontal="center" vertical="center" wrapText="1"/>
    </xf>
    <xf numFmtId="0" fontId="37" fillId="21" borderId="58" xfId="4" applyFont="1" applyFill="1" applyBorder="1" applyAlignment="1">
      <alignment horizontal="center" vertical="center" wrapText="1"/>
    </xf>
    <xf numFmtId="0" fontId="19" fillId="0" borderId="0" xfId="4" applyAlignment="1">
      <alignment horizontal="justify" vertical="justify" wrapText="1"/>
    </xf>
    <xf numFmtId="0" fontId="37" fillId="22" borderId="57" xfId="4" applyFont="1" applyFill="1" applyBorder="1" applyAlignment="1">
      <alignment horizontal="left" vertical="center" wrapText="1"/>
    </xf>
    <xf numFmtId="0" fontId="37" fillId="22" borderId="58" xfId="4" applyFont="1" applyFill="1" applyBorder="1" applyAlignment="1">
      <alignment horizontal="left" vertical="center" wrapText="1"/>
    </xf>
    <xf numFmtId="0" fontId="41" fillId="0" borderId="64" xfId="4" applyFont="1" applyBorder="1" applyAlignment="1">
      <alignment horizontal="center" vertical="center" wrapText="1"/>
    </xf>
    <xf numFmtId="0" fontId="41" fillId="0" borderId="0" xfId="4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0" fontId="3" fillId="2" borderId="0" xfId="1" applyNumberFormat="1" applyFont="1" applyFill="1" applyAlignment="1" applyProtection="1">
      <alignment horizontal="center" vertical="center" wrapText="1"/>
      <protection locked="0"/>
    </xf>
    <xf numFmtId="0" fontId="8" fillId="10" borderId="1" xfId="0" applyFont="1" applyFill="1" applyBorder="1" applyAlignment="1">
      <alignment horizontal="center" vertical="center"/>
    </xf>
    <xf numFmtId="0" fontId="8" fillId="10" borderId="2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8" fillId="5" borderId="8" xfId="0" applyFont="1" applyFill="1" applyBorder="1" applyAlignment="1">
      <alignment horizontal="left" vertical="center"/>
    </xf>
    <xf numFmtId="0" fontId="8" fillId="5" borderId="9" xfId="0" applyFont="1" applyFill="1" applyBorder="1" applyAlignment="1">
      <alignment horizontal="left" vertical="center"/>
    </xf>
    <xf numFmtId="0" fontId="8" fillId="5" borderId="15" xfId="0" applyFont="1" applyFill="1" applyBorder="1" applyAlignment="1">
      <alignment horizontal="left" vertical="center"/>
    </xf>
    <xf numFmtId="0" fontId="8" fillId="9" borderId="1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left" vertical="center"/>
    </xf>
    <xf numFmtId="0" fontId="8" fillId="5" borderId="2" xfId="0" applyFont="1" applyFill="1" applyBorder="1" applyAlignment="1">
      <alignment horizontal="left" vertical="center"/>
    </xf>
    <xf numFmtId="0" fontId="8" fillId="5" borderId="19" xfId="0" applyFont="1" applyFill="1" applyBorder="1" applyAlignment="1">
      <alignment horizontal="left" vertical="center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8" fillId="7" borderId="8" xfId="0" applyFont="1" applyFill="1" applyBorder="1" applyAlignment="1">
      <alignment horizontal="left" vertical="center"/>
    </xf>
    <xf numFmtId="0" fontId="8" fillId="7" borderId="1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7" borderId="9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11" borderId="23" xfId="0" applyFont="1" applyFill="1" applyBorder="1" applyAlignment="1">
      <alignment horizontal="center" vertical="center"/>
    </xf>
    <xf numFmtId="0" fontId="9" fillId="11" borderId="24" xfId="0" applyFont="1" applyFill="1" applyBorder="1" applyAlignment="1">
      <alignment horizontal="center" vertical="center"/>
    </xf>
    <xf numFmtId="0" fontId="9" fillId="11" borderId="25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 applyProtection="1">
      <alignment horizontal="center" vertical="center"/>
      <protection locked="0"/>
    </xf>
    <xf numFmtId="0" fontId="5" fillId="0" borderId="32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left" vertical="center"/>
    </xf>
    <xf numFmtId="0" fontId="5" fillId="0" borderId="44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8" fillId="5" borderId="26" xfId="0" applyFont="1" applyFill="1" applyBorder="1" applyAlignment="1">
      <alignment horizontal="left" vertical="center"/>
    </xf>
    <xf numFmtId="0" fontId="8" fillId="5" borderId="41" xfId="0" applyFont="1" applyFill="1" applyBorder="1" applyAlignment="1">
      <alignment horizontal="left" vertical="center"/>
    </xf>
    <xf numFmtId="0" fontId="8" fillId="7" borderId="44" xfId="0" applyFont="1" applyFill="1" applyBorder="1" applyAlignment="1">
      <alignment horizontal="left" vertical="center"/>
    </xf>
    <xf numFmtId="0" fontId="8" fillId="7" borderId="17" xfId="0" applyFont="1" applyFill="1" applyBorder="1" applyAlignment="1">
      <alignment horizontal="left" vertical="center"/>
    </xf>
    <xf numFmtId="0" fontId="8" fillId="5" borderId="35" xfId="0" applyFont="1" applyFill="1" applyBorder="1" applyAlignment="1">
      <alignment horizontal="left" vertical="center"/>
    </xf>
    <xf numFmtId="0" fontId="18" fillId="0" borderId="44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5" fillId="6" borderId="23" xfId="0" applyFont="1" applyFill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10" fillId="4" borderId="25" xfId="0" applyFont="1" applyFill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8" xfId="0" applyFont="1" applyBorder="1" applyAlignment="1">
      <alignment vertical="center"/>
    </xf>
    <xf numFmtId="0" fontId="8" fillId="7" borderId="21" xfId="0" applyFont="1" applyFill="1" applyBorder="1" applyAlignment="1">
      <alignment horizontal="left" vertical="center"/>
    </xf>
    <xf numFmtId="0" fontId="8" fillId="7" borderId="22" xfId="0" applyFont="1" applyFill="1" applyBorder="1" applyAlignment="1">
      <alignment horizontal="left" vertical="center"/>
    </xf>
    <xf numFmtId="0" fontId="5" fillId="6" borderId="76" xfId="0" applyFont="1" applyFill="1" applyBorder="1" applyAlignment="1">
      <alignment horizontal="center" vertical="center"/>
    </xf>
    <xf numFmtId="0" fontId="5" fillId="6" borderId="77" xfId="0" applyFont="1" applyFill="1" applyBorder="1" applyAlignment="1">
      <alignment horizontal="center" vertical="center"/>
    </xf>
    <xf numFmtId="0" fontId="5" fillId="6" borderId="68" xfId="0" applyFont="1" applyFill="1" applyBorder="1" applyAlignment="1">
      <alignment horizontal="center" vertical="center"/>
    </xf>
    <xf numFmtId="0" fontId="8" fillId="5" borderId="78" xfId="0" applyFont="1" applyFill="1" applyBorder="1" applyAlignment="1">
      <alignment horizontal="left" vertical="center"/>
    </xf>
    <xf numFmtId="0" fontId="8" fillId="5" borderId="74" xfId="0" applyFont="1" applyFill="1" applyBorder="1" applyAlignment="1">
      <alignment horizontal="left" vertical="center"/>
    </xf>
    <xf numFmtId="0" fontId="5" fillId="6" borderId="25" xfId="0" applyFont="1" applyFill="1" applyBorder="1" applyAlignment="1">
      <alignment horizontal="center" vertical="center"/>
    </xf>
    <xf numFmtId="0" fontId="18" fillId="0" borderId="69" xfId="0" applyFont="1" applyBorder="1" applyAlignment="1">
      <alignment horizontal="left" vertical="center"/>
    </xf>
    <xf numFmtId="0" fontId="18" fillId="0" borderId="70" xfId="0" applyFont="1" applyBorder="1" applyAlignment="1">
      <alignment horizontal="left" vertical="center"/>
    </xf>
    <xf numFmtId="0" fontId="18" fillId="0" borderId="71" xfId="0" applyFont="1" applyBorder="1" applyAlignment="1">
      <alignment horizontal="left" vertical="center"/>
    </xf>
    <xf numFmtId="0" fontId="18" fillId="0" borderId="72" xfId="0" applyFont="1" applyBorder="1" applyAlignment="1">
      <alignment horizontal="left" vertical="center"/>
    </xf>
    <xf numFmtId="0" fontId="18" fillId="0" borderId="52" xfId="0" applyFont="1" applyBorder="1" applyAlignment="1">
      <alignment horizontal="left" vertical="center"/>
    </xf>
    <xf numFmtId="0" fontId="18" fillId="0" borderId="53" xfId="0" applyFont="1" applyBorder="1" applyAlignment="1">
      <alignment horizontal="left" vertical="center"/>
    </xf>
    <xf numFmtId="0" fontId="18" fillId="0" borderId="44" xfId="0" applyFont="1" applyBorder="1" applyAlignment="1">
      <alignment horizontal="left" vertical="center"/>
    </xf>
    <xf numFmtId="0" fontId="18" fillId="0" borderId="17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9" fillId="11" borderId="0" xfId="0" applyFont="1" applyFill="1" applyBorder="1" applyAlignment="1">
      <alignment horizontal="center" vertical="center"/>
    </xf>
    <xf numFmtId="0" fontId="9" fillId="11" borderId="28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9" fillId="11" borderId="5" xfId="0" applyFont="1" applyFill="1" applyBorder="1" applyAlignment="1">
      <alignment horizontal="center" vertical="center"/>
    </xf>
    <xf numFmtId="0" fontId="9" fillId="11" borderId="6" xfId="0" applyFont="1" applyFill="1" applyBorder="1" applyAlignment="1">
      <alignment horizontal="center" vertical="center"/>
    </xf>
    <xf numFmtId="0" fontId="9" fillId="11" borderId="7" xfId="0" applyFont="1" applyFill="1" applyBorder="1" applyAlignment="1">
      <alignment horizontal="center" vertical="center"/>
    </xf>
  </cellXfs>
  <cellStyles count="8">
    <cellStyle name="Hyperlink 2 2" xfId="5"/>
    <cellStyle name="Moeda" xfId="3" builtinId="4"/>
    <cellStyle name="Normal" xfId="0" builtinId="0"/>
    <cellStyle name="Normal 2 2" xfId="4"/>
    <cellStyle name="Normal 2 2 2" xfId="7"/>
    <cellStyle name="Porcentagem" xfId="1" builtinId="5"/>
    <cellStyle name="Porcentagem 5" xfId="6"/>
    <cellStyle name="Vírgula" xfId="2" builtinId="3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7359" cy="949902"/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37359" cy="9499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4</xdr:col>
      <xdr:colOff>161058</xdr:colOff>
      <xdr:row>53</xdr:row>
      <xdr:rowOff>21648</xdr:rowOff>
    </xdr:from>
    <xdr:ext cx="3354014" cy="1109210"/>
    <xdr:pic>
      <xdr:nvPicPr>
        <xdr:cNvPr id="3" name="Imagem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9958" y="15414048"/>
          <a:ext cx="3354014" cy="11092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ciene%20Cristina\Google%20Drive\COMERCIAL\VIPPIM%20VIGIL&#194;NCIA\PREG&#213;ES\2021\VIGIL&#194;NCIA\CNPM\1%20-%20Planilha%20Inicial%20CNM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NEEL\TR\APOIO%20LOG&#205;STICO\3.%20EDITAIS%20OUTROS%20&#211;RG&#195;OS\MS\PLANILHA%20RCS_04.29%20-MINIST&#201;RIO%20DA%20SA&#218;DE%20-%20PE%2008-2019%201%20(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NEEL\TR\APOIO%20LOG&#205;STICO\3.%20EDITAIS%20OUTROS%20&#211;RG&#195;OS\TCU\PLANILHA%20DE%20CUSTOS%20TCU%20-%20DF%20PE%2052-2019%20%20-%20%20APOIO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ciene%20Cristina\Google%20Drive\COMERCIAL\VIPPIM%20VIGIL&#194;NCIA\PREG&#213;ES\2021\VIGIL&#194;NCIA\MRE\1%20-%20Proposta%20Inicial%20MR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CIEN~1\AppData\Local\Temp\Rar$DIa6928.39843\4.%20Planilha%20de%20Composi&#231;&#227;o%20de%20Custos%20Vigilan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forme2"/>
      <sheetName val="Equip"/>
      <sheetName val="Resumo"/>
      <sheetName val="INSERÇÃO-DE-DADOS"/>
      <sheetName val="DADOS-ESTATISTICOS"/>
      <sheetName val="ENCARGOS-SOCIAIS-E-TRABALHISTAS"/>
      <sheetName val="POSTO SUP 12x36 HORAS - DIURNO"/>
      <sheetName val="POSTO 12x36 HORAS - DIURNO"/>
      <sheetName val="POSTO 12x36 HORAS - NOTURNO (2"/>
      <sheetName val="POSTO 44 HORAS M"/>
      <sheetName val="POSTO 12x36 HORAS - NOTURNO"/>
      <sheetName val="POSTO 44 HORAS F"/>
      <sheetName val="QUADRO-RESUMO"/>
      <sheetName val="LIMITES-SEGES"/>
    </sheetNames>
    <sheetDataSet>
      <sheetData sheetId="0"/>
      <sheetData sheetId="1"/>
      <sheetData sheetId="2"/>
      <sheetData sheetId="3">
        <row r="1">
          <cell r="B1" t="str">
            <v>RAMO:</v>
          </cell>
        </row>
        <row r="2">
          <cell r="B2" t="str">
            <v>UNIDADE GESTORA (SIGLA):</v>
          </cell>
          <cell r="F2" t="str">
            <v>XX/XX/20XX</v>
          </cell>
        </row>
        <row r="6">
          <cell r="D6" t="str">
            <v>X.XX.XXX.XXXXXX/20XX-XX</v>
          </cell>
        </row>
        <row r="7">
          <cell r="D7" t="str">
            <v>Pregão nº</v>
          </cell>
          <cell r="F7" t="str">
            <v>XX/20XX</v>
          </cell>
        </row>
        <row r="11">
          <cell r="F11" t="str">
            <v>XX/XX/20XX</v>
          </cell>
        </row>
        <row r="12">
          <cell r="D12">
            <v>0</v>
          </cell>
        </row>
        <row r="14">
          <cell r="F14" t="str">
            <v>XX/20XX</v>
          </cell>
        </row>
        <row r="15">
          <cell r="F15">
            <v>12</v>
          </cell>
        </row>
        <row r="19">
          <cell r="C19" t="str">
            <v>Supervisor 12x36 horas - diurno</v>
          </cell>
          <cell r="F19">
            <v>1</v>
          </cell>
        </row>
        <row r="20">
          <cell r="C20">
            <v>0</v>
          </cell>
          <cell r="F20">
            <v>0</v>
          </cell>
        </row>
        <row r="21">
          <cell r="C21">
            <v>0</v>
          </cell>
          <cell r="F21">
            <v>0</v>
          </cell>
        </row>
        <row r="24">
          <cell r="E24" t="str">
            <v>Vigilância</v>
          </cell>
        </row>
        <row r="25">
          <cell r="D25" t="str">
            <v>5173-30</v>
          </cell>
        </row>
        <row r="26">
          <cell r="D26" t="str">
            <v>Vigilante Armado</v>
          </cell>
        </row>
        <row r="27">
          <cell r="F27">
            <v>44197</v>
          </cell>
        </row>
        <row r="33">
          <cell r="F33">
            <v>2708.92</v>
          </cell>
        </row>
        <row r="34">
          <cell r="F34">
            <v>30</v>
          </cell>
        </row>
        <row r="35">
          <cell r="F35">
            <v>20</v>
          </cell>
        </row>
        <row r="36">
          <cell r="C36" t="str">
            <v>Outras Remunerações 1 (Especificar)</v>
          </cell>
          <cell r="D36">
            <v>0</v>
          </cell>
          <cell r="E36">
            <v>0</v>
          </cell>
          <cell r="F36">
            <v>0</v>
          </cell>
        </row>
        <row r="37">
          <cell r="C37" t="str">
            <v>Outras Remunerações 2 (Especificar)</v>
          </cell>
          <cell r="D37">
            <v>0</v>
          </cell>
          <cell r="E37">
            <v>0</v>
          </cell>
          <cell r="F37">
            <v>0</v>
          </cell>
        </row>
        <row r="38">
          <cell r="C38" t="str">
            <v>Outras Remunerações 3 (Especificar)</v>
          </cell>
          <cell r="D38">
            <v>0</v>
          </cell>
          <cell r="E38">
            <v>0</v>
          </cell>
          <cell r="F38">
            <v>0</v>
          </cell>
        </row>
        <row r="42">
          <cell r="F42">
            <v>11</v>
          </cell>
        </row>
        <row r="43">
          <cell r="F43">
            <v>39.29</v>
          </cell>
        </row>
        <row r="44">
          <cell r="C44" t="str">
            <v>Seguro de vida</v>
          </cell>
          <cell r="F44">
            <v>12</v>
          </cell>
        </row>
        <row r="45">
          <cell r="C45">
            <v>0</v>
          </cell>
          <cell r="F45">
            <v>0</v>
          </cell>
        </row>
        <row r="46">
          <cell r="C46">
            <v>0</v>
          </cell>
          <cell r="F46">
            <v>0</v>
          </cell>
        </row>
        <row r="51">
          <cell r="C51" t="str">
            <v>Outras Ausências (Especificar - em %)</v>
          </cell>
          <cell r="F51">
            <v>0</v>
          </cell>
        </row>
        <row r="55">
          <cell r="F55">
            <v>0</v>
          </cell>
        </row>
        <row r="56">
          <cell r="F56">
            <v>0</v>
          </cell>
        </row>
        <row r="60">
          <cell r="F60">
            <v>57.67</v>
          </cell>
        </row>
        <row r="61">
          <cell r="F61">
            <v>2</v>
          </cell>
        </row>
        <row r="62">
          <cell r="F62">
            <v>13.15</v>
          </cell>
        </row>
        <row r="63">
          <cell r="C63" t="str">
            <v>Outros (Materiais de Consumo duráveis)</v>
          </cell>
          <cell r="F63">
            <v>5</v>
          </cell>
        </row>
        <row r="67">
          <cell r="F67">
            <v>4.8499999999999996</v>
          </cell>
        </row>
        <row r="68">
          <cell r="F68">
            <v>5.45</v>
          </cell>
        </row>
        <row r="69">
          <cell r="F69">
            <v>0.65</v>
          </cell>
        </row>
        <row r="70">
          <cell r="F70">
            <v>3</v>
          </cell>
        </row>
        <row r="71">
          <cell r="F71">
            <v>5</v>
          </cell>
        </row>
      </sheetData>
      <sheetData sheetId="4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5">
          <cell r="F15">
            <v>15</v>
          </cell>
        </row>
        <row r="20">
          <cell r="F20">
            <v>62.93</v>
          </cell>
        </row>
        <row r="21">
          <cell r="F21">
            <v>5.55</v>
          </cell>
        </row>
        <row r="22">
          <cell r="F22">
            <v>40</v>
          </cell>
        </row>
        <row r="23">
          <cell r="F23">
            <v>94.45</v>
          </cell>
        </row>
        <row r="24">
          <cell r="F24">
            <v>30</v>
          </cell>
        </row>
        <row r="29">
          <cell r="F29">
            <v>8</v>
          </cell>
        </row>
        <row r="30">
          <cell r="F30">
            <v>20</v>
          </cell>
        </row>
        <row r="31">
          <cell r="F31">
            <v>1.42</v>
          </cell>
        </row>
        <row r="32">
          <cell r="F32">
            <v>86.46</v>
          </cell>
        </row>
        <row r="33">
          <cell r="F33">
            <v>0.44</v>
          </cell>
        </row>
        <row r="34">
          <cell r="F34">
            <v>15</v>
          </cell>
        </row>
        <row r="35">
          <cell r="F35">
            <v>180</v>
          </cell>
        </row>
        <row r="36">
          <cell r="F36">
            <v>13.54</v>
          </cell>
        </row>
      </sheetData>
      <sheetData sheetId="5">
        <row r="5">
          <cell r="E5">
            <v>8.33</v>
          </cell>
        </row>
        <row r="6">
          <cell r="E6">
            <v>2.78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3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36.799999999999997</v>
          </cell>
        </row>
        <row r="20">
          <cell r="E20">
            <v>0.28999999999999998</v>
          </cell>
        </row>
        <row r="21">
          <cell r="E21">
            <v>1.1599999999999999</v>
          </cell>
        </row>
        <row r="22">
          <cell r="E22">
            <v>0.04</v>
          </cell>
        </row>
        <row r="26">
          <cell r="E26">
            <v>8.33</v>
          </cell>
        </row>
        <row r="27">
          <cell r="E27">
            <v>2.2200000000000002</v>
          </cell>
        </row>
        <row r="28">
          <cell r="E28">
            <v>7.0000000000000007E-2</v>
          </cell>
        </row>
        <row r="29">
          <cell r="E29">
            <v>0.02</v>
          </cell>
        </row>
        <row r="30">
          <cell r="E30">
            <v>0.04</v>
          </cell>
        </row>
      </sheetData>
      <sheetData sheetId="6">
        <row r="21">
          <cell r="F21">
            <v>2</v>
          </cell>
        </row>
        <row r="24">
          <cell r="F24">
            <v>2708.92</v>
          </cell>
        </row>
        <row r="29">
          <cell r="F29">
            <v>3521.6</v>
          </cell>
        </row>
        <row r="35">
          <cell r="F35">
            <v>391.25</v>
          </cell>
        </row>
        <row r="45">
          <cell r="F45">
            <v>313.02999999999997</v>
          </cell>
        </row>
        <row r="46">
          <cell r="F46">
            <v>1439.94</v>
          </cell>
        </row>
        <row r="54">
          <cell r="F54">
            <v>685.08</v>
          </cell>
        </row>
        <row r="60">
          <cell r="F60">
            <v>85.85</v>
          </cell>
        </row>
        <row r="71">
          <cell r="F71">
            <v>654.02</v>
          </cell>
        </row>
        <row r="75">
          <cell r="F75">
            <v>0</v>
          </cell>
        </row>
        <row r="83">
          <cell r="F83">
            <v>77.819999999999993</v>
          </cell>
        </row>
        <row r="87">
          <cell r="F87">
            <v>332.49</v>
          </cell>
        </row>
        <row r="88">
          <cell r="F88">
            <v>391.75</v>
          </cell>
        </row>
        <row r="89">
          <cell r="F89">
            <v>717.74</v>
          </cell>
        </row>
        <row r="93">
          <cell r="F93">
            <v>1441.98</v>
          </cell>
        </row>
        <row r="102">
          <cell r="F102">
            <v>8297.5400000000009</v>
          </cell>
        </row>
        <row r="103">
          <cell r="F103">
            <v>16595.080000000002</v>
          </cell>
        </row>
      </sheetData>
      <sheetData sheetId="7"/>
      <sheetData sheetId="8"/>
      <sheetData sheetId="9"/>
      <sheetData sheetId="10">
        <row r="19">
          <cell r="F19">
            <v>2</v>
          </cell>
        </row>
        <row r="22">
          <cell r="F22">
            <v>2708.92</v>
          </cell>
        </row>
        <row r="23">
          <cell r="F23">
            <v>812.68</v>
          </cell>
        </row>
        <row r="29">
          <cell r="F29">
            <v>3910.89</v>
          </cell>
        </row>
        <row r="35">
          <cell r="F35">
            <v>434.5</v>
          </cell>
        </row>
        <row r="45">
          <cell r="F45">
            <v>347.63</v>
          </cell>
        </row>
        <row r="46">
          <cell r="F46">
            <v>1599.09</v>
          </cell>
        </row>
        <row r="54">
          <cell r="F54">
            <v>685.08</v>
          </cell>
        </row>
        <row r="60">
          <cell r="F60">
            <v>94.24</v>
          </cell>
        </row>
        <row r="71">
          <cell r="F71">
            <v>718.1</v>
          </cell>
        </row>
        <row r="75">
          <cell r="F75">
            <v>0</v>
          </cell>
        </row>
        <row r="83">
          <cell r="F83">
            <v>77.819999999999993</v>
          </cell>
        </row>
        <row r="87">
          <cell r="F87">
            <v>364.71</v>
          </cell>
        </row>
        <row r="88">
          <cell r="F88">
            <v>429.7</v>
          </cell>
        </row>
        <row r="89">
          <cell r="E89">
            <v>8.65</v>
          </cell>
          <cell r="F89">
            <v>787.27</v>
          </cell>
        </row>
        <row r="93">
          <cell r="F93">
            <v>1581.68</v>
          </cell>
        </row>
        <row r="102">
          <cell r="F102">
            <v>9101.4</v>
          </cell>
        </row>
        <row r="103">
          <cell r="F103">
            <v>18202.8</v>
          </cell>
        </row>
      </sheetData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I"/>
      <sheetName val="ENCARGOS CJF"/>
      <sheetName val="Conta Vinculada CJF"/>
      <sheetName val="INDIRETOS"/>
      <sheetName val="RST-UNIFORME - ATUAL"/>
      <sheetName val="RST-EPI"/>
      <sheetName val="RST-U"/>
      <sheetName val="FERRAMENTAL"/>
      <sheetName val="Resumo"/>
      <sheetName val="PROPOSTA"/>
      <sheetName val="MATERIAL"/>
      <sheetName val="UNIFORMES"/>
      <sheetName val="1"/>
      <sheetName val="2"/>
      <sheetName val="3"/>
    </sheetNames>
    <sheetDataSet>
      <sheetData sheetId="0">
        <row r="3">
          <cell r="C3" t="str">
            <v>25000.183662/2018-74</v>
          </cell>
        </row>
        <row r="16">
          <cell r="B16" t="str">
            <v>Técnico em Secretariado</v>
          </cell>
          <cell r="C16">
            <v>172</v>
          </cell>
          <cell r="D16">
            <v>2145</v>
          </cell>
          <cell r="E16" t="str">
            <v>NÃO</v>
          </cell>
          <cell r="F16" t="str">
            <v>NÃO</v>
          </cell>
          <cell r="G16" t="str">
            <v>NÃO</v>
          </cell>
          <cell r="H16">
            <v>0</v>
          </cell>
          <cell r="I16">
            <v>0</v>
          </cell>
          <cell r="J16">
            <v>0</v>
          </cell>
          <cell r="K16">
            <v>22</v>
          </cell>
          <cell r="L16">
            <v>4.25</v>
          </cell>
          <cell r="M16">
            <v>19</v>
          </cell>
          <cell r="N16">
            <v>35.699999999999996</v>
          </cell>
          <cell r="O16">
            <v>2.0833333333333335</v>
          </cell>
          <cell r="P16" t="str">
            <v>SITIMMME/DF</v>
          </cell>
          <cell r="Q16" t="str">
            <v>3515-05</v>
          </cell>
          <cell r="R16" t="str">
            <v>DF000445/2018</v>
          </cell>
          <cell r="S16">
            <v>43221</v>
          </cell>
          <cell r="T16">
            <v>24.831989247311828</v>
          </cell>
          <cell r="U16">
            <v>0</v>
          </cell>
          <cell r="V16">
            <v>0</v>
          </cell>
          <cell r="W16">
            <v>0</v>
          </cell>
          <cell r="X16">
            <v>3</v>
          </cell>
          <cell r="Y16">
            <v>0</v>
          </cell>
          <cell r="Z16">
            <v>0</v>
          </cell>
          <cell r="AA16">
            <v>0</v>
          </cell>
          <cell r="AB16">
            <v>220</v>
          </cell>
        </row>
        <row r="17">
          <cell r="B17" t="str">
            <v>Secretariado Executivo</v>
          </cell>
          <cell r="C17">
            <v>12</v>
          </cell>
          <cell r="D17">
            <v>4300</v>
          </cell>
          <cell r="E17" t="str">
            <v>NÃO</v>
          </cell>
          <cell r="F17" t="str">
            <v>NÃO</v>
          </cell>
          <cell r="G17" t="str">
            <v>NÃO</v>
          </cell>
          <cell r="H17">
            <v>0</v>
          </cell>
          <cell r="I17">
            <v>0</v>
          </cell>
          <cell r="J17">
            <v>0</v>
          </cell>
          <cell r="K17">
            <v>22</v>
          </cell>
          <cell r="L17">
            <v>4.25</v>
          </cell>
          <cell r="M17">
            <v>19</v>
          </cell>
          <cell r="N17">
            <v>35.699999999999996</v>
          </cell>
          <cell r="O17">
            <v>2.0833333333333335</v>
          </cell>
          <cell r="P17" t="str">
            <v>SITIMMME/DF</v>
          </cell>
          <cell r="Q17" t="str">
            <v>2523-05</v>
          </cell>
          <cell r="R17" t="str">
            <v>DF000445/2018</v>
          </cell>
          <cell r="S17">
            <v>43221</v>
          </cell>
          <cell r="T17">
            <v>24.831989247311828</v>
          </cell>
          <cell r="U17">
            <v>0</v>
          </cell>
          <cell r="V17">
            <v>0</v>
          </cell>
          <cell r="W17">
            <v>0</v>
          </cell>
          <cell r="X17">
            <v>3</v>
          </cell>
          <cell r="Y17">
            <v>0</v>
          </cell>
          <cell r="Z17">
            <v>0</v>
          </cell>
          <cell r="AA17">
            <v>0</v>
          </cell>
          <cell r="AB17">
            <v>220</v>
          </cell>
        </row>
        <row r="18">
          <cell r="B18" t="str">
            <v>Encarregado Geral</v>
          </cell>
          <cell r="C18">
            <v>2</v>
          </cell>
          <cell r="D18">
            <v>3061.96</v>
          </cell>
          <cell r="E18" t="str">
            <v>NÃO</v>
          </cell>
          <cell r="F18" t="str">
            <v>NÃO</v>
          </cell>
          <cell r="G18" t="str">
            <v>NÃO</v>
          </cell>
          <cell r="H18">
            <v>0</v>
          </cell>
          <cell r="I18">
            <v>0</v>
          </cell>
          <cell r="J18">
            <v>0</v>
          </cell>
          <cell r="K18">
            <v>22</v>
          </cell>
          <cell r="L18">
            <v>4.25</v>
          </cell>
          <cell r="M18">
            <v>19</v>
          </cell>
          <cell r="N18">
            <v>35.699999999999996</v>
          </cell>
          <cell r="O18">
            <v>2.0833333333333335</v>
          </cell>
          <cell r="P18" t="str">
            <v>SITIMMME/DF</v>
          </cell>
          <cell r="Q18" t="str">
            <v>4101-05</v>
          </cell>
          <cell r="R18" t="str">
            <v>DF000445/2018</v>
          </cell>
          <cell r="S18">
            <v>43221</v>
          </cell>
          <cell r="T18">
            <v>24.831989247311828</v>
          </cell>
          <cell r="U18">
            <v>0</v>
          </cell>
          <cell r="V18">
            <v>0</v>
          </cell>
          <cell r="W18">
            <v>0</v>
          </cell>
          <cell r="X18">
            <v>3</v>
          </cell>
          <cell r="Y18">
            <v>0</v>
          </cell>
          <cell r="Z18">
            <v>0</v>
          </cell>
          <cell r="AA18">
            <v>0</v>
          </cell>
          <cell r="AB18">
            <v>220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</row>
        <row r="36">
          <cell r="B36" t="str">
            <v>TOTAL</v>
          </cell>
          <cell r="C36">
            <v>186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</row>
        <row r="37"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 t="e">
            <v>#N/A</v>
          </cell>
          <cell r="O37" t="e">
            <v>#N/A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</row>
        <row r="38"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 t="e">
            <v>#N/A</v>
          </cell>
          <cell r="O38" t="e">
            <v>#N/A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</row>
        <row r="39"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 t="e">
            <v>#N/A</v>
          </cell>
          <cell r="O39" t="e">
            <v>#N/A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</row>
        <row r="40">
          <cell r="B40">
            <v>0</v>
          </cell>
          <cell r="C40">
            <v>372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</row>
        <row r="41"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</row>
        <row r="42">
          <cell r="B42" t="str">
            <v>FUNÇÃO</v>
          </cell>
          <cell r="C42" t="str">
            <v>QUANTIDADE</v>
          </cell>
          <cell r="D42" t="str">
            <v>SALÁRIO BASE</v>
          </cell>
          <cell r="E42" t="str">
            <v>Profissional Noturno?</v>
          </cell>
          <cell r="F42" t="str">
            <v>Periculosidade?</v>
          </cell>
          <cell r="G42" t="str">
            <v>Insalubridade?</v>
          </cell>
          <cell r="H42" t="str">
            <v>ADICIONAL NOTURNO</v>
          </cell>
          <cell r="I42" t="str">
            <v>PERICULOSIDADE (30%)</v>
          </cell>
          <cell r="J42" t="str">
            <v>INSALUBRIDADE</v>
          </cell>
          <cell r="K42" t="str">
            <v>DIAS DO MÊS</v>
          </cell>
          <cell r="L42" t="str">
            <v>VALE TRANSPORTE</v>
          </cell>
          <cell r="M42" t="str">
            <v>VALE REFEIÇÃO</v>
          </cell>
          <cell r="N42" t="str">
            <v xml:space="preserve">UNIFORMES </v>
          </cell>
          <cell r="O42" t="str">
            <v>E.P.I. (EQUIPAMENTO DE PROTEÇÃO INDIVIDUAL</v>
          </cell>
          <cell r="P42" t="str">
            <v>CONVENÇÃO COLETIVA</v>
          </cell>
          <cell r="Q42" t="str">
            <v>COMUNICAÇÃO</v>
          </cell>
          <cell r="R42" t="str">
            <v>REGISTRO CCT</v>
          </cell>
          <cell r="S42" t="str">
            <v>DATA BASE DA CATEGORIA</v>
          </cell>
          <cell r="T42" t="str">
            <v>MATERIAIS E INSUMOS</v>
          </cell>
          <cell r="U42" t="str">
            <v>COMUNICAÇÃO</v>
          </cell>
          <cell r="V42" t="str">
            <v>ASSISTÊNCIA MÉDICA FAMILIA</v>
          </cell>
          <cell r="W42" t="str">
            <v>AUXÍLIO CRECHE</v>
          </cell>
          <cell r="X42" t="str">
            <v>SEGURO DE VIDA E AUXÍLIO FUNERAL</v>
          </cell>
          <cell r="Y42" t="str">
            <v>ASSISTÊNCIA ODONTOLÓGICA</v>
          </cell>
          <cell r="Z42" t="str">
            <v>FERRAMENTAS</v>
          </cell>
          <cell r="AA42" t="str">
            <v>EQUIPAMENTOS</v>
          </cell>
          <cell r="AB42" t="str">
            <v>HORAS MÊS</v>
          </cell>
        </row>
        <row r="43"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 t="e">
            <v>#N/A</v>
          </cell>
          <cell r="O43" t="e">
            <v>#N/A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 t="e">
            <v>#N/A</v>
          </cell>
          <cell r="O44" t="e">
            <v>#N/A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</row>
        <row r="45"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 t="e">
            <v>#N/A</v>
          </cell>
          <cell r="O45" t="e">
            <v>#N/A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</row>
        <row r="46"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 t="e">
            <v>#N/A</v>
          </cell>
          <cell r="O46" t="e">
            <v>#N/A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</row>
        <row r="47"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 t="e">
            <v>#N/A</v>
          </cell>
          <cell r="O47" t="e">
            <v>#N/A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</row>
        <row r="48"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 t="e">
            <v>#N/A</v>
          </cell>
          <cell r="O48" t="e">
            <v>#N/A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</row>
        <row r="49"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 t="e">
            <v>#N/A</v>
          </cell>
          <cell r="O49" t="e">
            <v>#N/A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</row>
        <row r="50"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 t="e">
            <v>#N/A</v>
          </cell>
          <cell r="O50" t="e">
            <v>#N/A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</row>
        <row r="51"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 t="e">
            <v>#N/A</v>
          </cell>
          <cell r="O51" t="e">
            <v>#N/A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</row>
        <row r="52"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 t="e">
            <v>#N/A</v>
          </cell>
          <cell r="O52" t="e">
            <v>#N/A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</row>
      </sheetData>
      <sheetData sheetId="1">
        <row r="24">
          <cell r="B24" t="str">
            <v>Tipo de Serviço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carregado"/>
      <sheetName val="Supervisor"/>
      <sheetName val="Recepção I"/>
      <sheetName val="Recepção II"/>
      <sheetName val="Recepção12x36 Diurno"/>
      <sheetName val="Recepção 12x36 Noturno"/>
      <sheetName val="Recepção Insal."/>
      <sheetName val="Garçom"/>
      <sheetName val="Telefonista"/>
      <sheetName val="Ascensorista"/>
      <sheetName val="Motorista"/>
      <sheetName val="Recepçao(Diária)"/>
      <sheetName val="Garçom (Diária) "/>
      <sheetName val="Uniformes "/>
      <sheetName val="Insumos Garçom"/>
      <sheetName val="Mat. Garçom"/>
      <sheetName val="Utensílios Garçom"/>
      <sheetName val="Materiais Recep."/>
      <sheetName val="Outros Órgãos"/>
      <sheetName val="Resumo de Custos"/>
      <sheetName val="PROPOSTA"/>
      <sheetName val="Dados - Não mex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0">
          <cell r="AE30">
            <v>136.48199999999997</v>
          </cell>
        </row>
      </sheetData>
      <sheetData sheetId="14"/>
      <sheetData sheetId="15"/>
      <sheetData sheetId="16">
        <row r="56">
          <cell r="EC56">
            <v>28.012950520833332</v>
          </cell>
        </row>
      </sheetData>
      <sheetData sheetId="17"/>
      <sheetData sheetId="18"/>
      <sheetData sheetId="19">
        <row r="49">
          <cell r="B49">
            <v>3.0001100712585913E-2</v>
          </cell>
        </row>
      </sheetData>
      <sheetData sheetId="20"/>
      <sheetData sheetId="21">
        <row r="1">
          <cell r="A1" t="str">
            <v>Serviços</v>
          </cell>
        </row>
        <row r="2">
          <cell r="A2" t="str">
            <v>Encarregado Geral</v>
          </cell>
        </row>
        <row r="3">
          <cell r="A3" t="str">
            <v>Técnico em Secretariado</v>
          </cell>
        </row>
        <row r="4">
          <cell r="A4" t="str">
            <v>Copeiragem</v>
          </cell>
        </row>
        <row r="5">
          <cell r="A5" t="str">
            <v>Recepção</v>
          </cell>
        </row>
        <row r="6">
          <cell r="A6" t="str">
            <v>Garçom</v>
          </cell>
        </row>
        <row r="7">
          <cell r="A7" t="str">
            <v>Atendente de Ouvidoria</v>
          </cell>
        </row>
        <row r="8">
          <cell r="A8" t="str">
            <v>Telefonista</v>
          </cell>
        </row>
        <row r="9">
          <cell r="A9" t="str">
            <v>Ascensorista</v>
          </cell>
        </row>
        <row r="10">
          <cell r="A10" t="str">
            <v>Supervisor</v>
          </cell>
        </row>
        <row r="11">
          <cell r="A11" t="str">
            <v>Motorista</v>
          </cell>
        </row>
        <row r="12">
          <cell r="A12" t="str">
            <v>Agente de Portaria - Diarista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"/>
      <sheetName val="Resumo"/>
      <sheetName val="supervisor"/>
      <sheetName val=" 44h de 2º a 6 feira"/>
      <sheetName val="Desarmada - Diurna 12 x36 hs"/>
      <sheetName val="Desarmada - Diurna 12 x36 h Lid"/>
      <sheetName val=" Desarmada - Noturna 12 x36"/>
      <sheetName val=" Desarmada - Noturna 12 x36 Lid"/>
      <sheetName val="Armada - Diurna 12 x36 hs"/>
      <sheetName val=" Armada - Noturna 12 x36 hs (2"/>
      <sheetName val="Uniformes"/>
      <sheetName val="Equipamentos"/>
    </sheetNames>
    <sheetDataSet>
      <sheetData sheetId="0" refreshError="1"/>
      <sheetData sheetId="1" refreshError="1">
        <row r="5">
          <cell r="A5" t="str">
            <v>Supervisor Geral - 44 h de 2ª  a 6ª feira</v>
          </cell>
        </row>
        <row r="6">
          <cell r="A6" t="str">
            <v>Serviço de Vigilância Desarmada 44h de 2º a 6 feira</v>
          </cell>
        </row>
        <row r="7">
          <cell r="A7" t="str">
            <v>Serviço de Vigilância Desarmada - Diurna 12 x36 hs</v>
          </cell>
        </row>
        <row r="8">
          <cell r="A8" t="str">
            <v>Vigilância Desarmada 12x36 Diurno - Chefe de turno</v>
          </cell>
        </row>
        <row r="9">
          <cell r="A9" t="str">
            <v>Serviço de Vigilância Desarmada - Noturna 12 x36 hs</v>
          </cell>
        </row>
        <row r="10">
          <cell r="A10" t="str">
            <v>Vigilância Desarmada 12x36 Noturno - Chefe de Turno</v>
          </cell>
        </row>
        <row r="11">
          <cell r="A11" t="str">
            <v>Serviço de Vigilância Armada - Diurna 12 x36 hs</v>
          </cell>
        </row>
        <row r="12">
          <cell r="A12" t="str">
            <v>Serviço de Vigilância Armada - Noturna 12 x36 hs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upervisor"/>
      <sheetName val=" 44h de 2º a 6 feira"/>
      <sheetName val="Desarmada - Diurna 12 x36 hs"/>
      <sheetName val="Supervisor - Diurna 12 x36h"/>
      <sheetName val=" Desarmada - Noturna 12 x36"/>
      <sheetName val=" Supervisor - Noturna 12 x36h"/>
      <sheetName val="Armada - Diurna 12 x36 hs"/>
      <sheetName val=" Armada - Noturna 12 x36 hs"/>
      <sheetName val="Uniformes"/>
      <sheetName val="Equipamen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C4">
            <v>60</v>
          </cell>
        </row>
        <row r="5">
          <cell r="C5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0"/>
  <sheetViews>
    <sheetView showGridLines="0" view="pageBreakPreview" topLeftCell="A21" zoomScale="110" zoomScaleNormal="100" zoomScaleSheetLayoutView="110" workbookViewId="0">
      <selection activeCell="A30" sqref="A30:J30"/>
    </sheetView>
  </sheetViews>
  <sheetFormatPr defaultRowHeight="15"/>
  <cols>
    <col min="1" max="1" width="6.42578125" style="181" customWidth="1"/>
    <col min="2" max="2" width="6.5703125" style="181" customWidth="1"/>
    <col min="3" max="3" width="13" style="181" customWidth="1"/>
    <col min="4" max="4" width="13.42578125" style="181" customWidth="1"/>
    <col min="5" max="5" width="11.140625" style="181" customWidth="1"/>
    <col min="6" max="6" width="8.85546875" style="181" customWidth="1"/>
    <col min="7" max="7" width="11.140625" style="181" customWidth="1"/>
    <col min="8" max="9" width="15.28515625" style="181" customWidth="1"/>
    <col min="10" max="11" width="16.42578125" style="181" customWidth="1"/>
    <col min="12" max="12" width="16.42578125" style="181" hidden="1" customWidth="1"/>
    <col min="13" max="13" width="19.28515625" style="181" customWidth="1"/>
    <col min="14" max="247" width="9.140625" style="181"/>
    <col min="248" max="248" width="3.28515625" style="181" customWidth="1"/>
    <col min="249" max="249" width="29" style="181" customWidth="1"/>
    <col min="250" max="250" width="14" style="181" customWidth="1"/>
    <col min="251" max="251" width="11.28515625" style="181" customWidth="1"/>
    <col min="252" max="252" width="16.7109375" style="181" customWidth="1"/>
    <col min="253" max="253" width="8.85546875" style="181" customWidth="1"/>
    <col min="254" max="254" width="29" style="181" customWidth="1"/>
    <col min="255" max="503" width="9.140625" style="181"/>
    <col min="504" max="504" width="3.28515625" style="181" customWidth="1"/>
    <col min="505" max="505" width="29" style="181" customWidth="1"/>
    <col min="506" max="506" width="14" style="181" customWidth="1"/>
    <col min="507" max="507" width="11.28515625" style="181" customWidth="1"/>
    <col min="508" max="508" width="16.7109375" style="181" customWidth="1"/>
    <col min="509" max="509" width="8.85546875" style="181" customWidth="1"/>
    <col min="510" max="510" width="29" style="181" customWidth="1"/>
    <col min="511" max="759" width="9.140625" style="181"/>
    <col min="760" max="760" width="3.28515625" style="181" customWidth="1"/>
    <col min="761" max="761" width="29" style="181" customWidth="1"/>
    <col min="762" max="762" width="14" style="181" customWidth="1"/>
    <col min="763" max="763" width="11.28515625" style="181" customWidth="1"/>
    <col min="764" max="764" width="16.7109375" style="181" customWidth="1"/>
    <col min="765" max="765" width="8.85546875" style="181" customWidth="1"/>
    <col min="766" max="766" width="29" style="181" customWidth="1"/>
    <col min="767" max="1015" width="9.140625" style="181"/>
    <col min="1016" max="1016" width="3.28515625" style="181" customWidth="1"/>
    <col min="1017" max="1017" width="29" style="181" customWidth="1"/>
    <col min="1018" max="1018" width="14" style="181" customWidth="1"/>
    <col min="1019" max="1019" width="11.28515625" style="181" customWidth="1"/>
    <col min="1020" max="1020" width="16.7109375" style="181" customWidth="1"/>
    <col min="1021" max="1021" width="8.85546875" style="181" customWidth="1"/>
    <col min="1022" max="1022" width="29" style="181" customWidth="1"/>
    <col min="1023" max="1271" width="9.140625" style="181"/>
    <col min="1272" max="1272" width="3.28515625" style="181" customWidth="1"/>
    <col min="1273" max="1273" width="29" style="181" customWidth="1"/>
    <col min="1274" max="1274" width="14" style="181" customWidth="1"/>
    <col min="1275" max="1275" width="11.28515625" style="181" customWidth="1"/>
    <col min="1276" max="1276" width="16.7109375" style="181" customWidth="1"/>
    <col min="1277" max="1277" width="8.85546875" style="181" customWidth="1"/>
    <col min="1278" max="1278" width="29" style="181" customWidth="1"/>
    <col min="1279" max="1527" width="9.140625" style="181"/>
    <col min="1528" max="1528" width="3.28515625" style="181" customWidth="1"/>
    <col min="1529" max="1529" width="29" style="181" customWidth="1"/>
    <col min="1530" max="1530" width="14" style="181" customWidth="1"/>
    <col min="1531" max="1531" width="11.28515625" style="181" customWidth="1"/>
    <col min="1532" max="1532" width="16.7109375" style="181" customWidth="1"/>
    <col min="1533" max="1533" width="8.85546875" style="181" customWidth="1"/>
    <col min="1534" max="1534" width="29" style="181" customWidth="1"/>
    <col min="1535" max="1783" width="9.140625" style="181"/>
    <col min="1784" max="1784" width="3.28515625" style="181" customWidth="1"/>
    <col min="1785" max="1785" width="29" style="181" customWidth="1"/>
    <col min="1786" max="1786" width="14" style="181" customWidth="1"/>
    <col min="1787" max="1787" width="11.28515625" style="181" customWidth="1"/>
    <col min="1788" max="1788" width="16.7109375" style="181" customWidth="1"/>
    <col min="1789" max="1789" width="8.85546875" style="181" customWidth="1"/>
    <col min="1790" max="1790" width="29" style="181" customWidth="1"/>
    <col min="1791" max="2039" width="9.140625" style="181"/>
    <col min="2040" max="2040" width="3.28515625" style="181" customWidth="1"/>
    <col min="2041" max="2041" width="29" style="181" customWidth="1"/>
    <col min="2042" max="2042" width="14" style="181" customWidth="1"/>
    <col min="2043" max="2043" width="11.28515625" style="181" customWidth="1"/>
    <col min="2044" max="2044" width="16.7109375" style="181" customWidth="1"/>
    <col min="2045" max="2045" width="8.85546875" style="181" customWidth="1"/>
    <col min="2046" max="2046" width="29" style="181" customWidth="1"/>
    <col min="2047" max="2295" width="9.140625" style="181"/>
    <col min="2296" max="2296" width="3.28515625" style="181" customWidth="1"/>
    <col min="2297" max="2297" width="29" style="181" customWidth="1"/>
    <col min="2298" max="2298" width="14" style="181" customWidth="1"/>
    <col min="2299" max="2299" width="11.28515625" style="181" customWidth="1"/>
    <col min="2300" max="2300" width="16.7109375" style="181" customWidth="1"/>
    <col min="2301" max="2301" width="8.85546875" style="181" customWidth="1"/>
    <col min="2302" max="2302" width="29" style="181" customWidth="1"/>
    <col min="2303" max="2551" width="9.140625" style="181"/>
    <col min="2552" max="2552" width="3.28515625" style="181" customWidth="1"/>
    <col min="2553" max="2553" width="29" style="181" customWidth="1"/>
    <col min="2554" max="2554" width="14" style="181" customWidth="1"/>
    <col min="2555" max="2555" width="11.28515625" style="181" customWidth="1"/>
    <col min="2556" max="2556" width="16.7109375" style="181" customWidth="1"/>
    <col min="2557" max="2557" width="8.85546875" style="181" customWidth="1"/>
    <col min="2558" max="2558" width="29" style="181" customWidth="1"/>
    <col min="2559" max="2807" width="9.140625" style="181"/>
    <col min="2808" max="2808" width="3.28515625" style="181" customWidth="1"/>
    <col min="2809" max="2809" width="29" style="181" customWidth="1"/>
    <col min="2810" max="2810" width="14" style="181" customWidth="1"/>
    <col min="2811" max="2811" width="11.28515625" style="181" customWidth="1"/>
    <col min="2812" max="2812" width="16.7109375" style="181" customWidth="1"/>
    <col min="2813" max="2813" width="8.85546875" style="181" customWidth="1"/>
    <col min="2814" max="2814" width="29" style="181" customWidth="1"/>
    <col min="2815" max="3063" width="9.140625" style="181"/>
    <col min="3064" max="3064" width="3.28515625" style="181" customWidth="1"/>
    <col min="3065" max="3065" width="29" style="181" customWidth="1"/>
    <col min="3066" max="3066" width="14" style="181" customWidth="1"/>
    <col min="3067" max="3067" width="11.28515625" style="181" customWidth="1"/>
    <col min="3068" max="3068" width="16.7109375" style="181" customWidth="1"/>
    <col min="3069" max="3069" width="8.85546875" style="181" customWidth="1"/>
    <col min="3070" max="3070" width="29" style="181" customWidth="1"/>
    <col min="3071" max="3319" width="9.140625" style="181"/>
    <col min="3320" max="3320" width="3.28515625" style="181" customWidth="1"/>
    <col min="3321" max="3321" width="29" style="181" customWidth="1"/>
    <col min="3322" max="3322" width="14" style="181" customWidth="1"/>
    <col min="3323" max="3323" width="11.28515625" style="181" customWidth="1"/>
    <col min="3324" max="3324" width="16.7109375" style="181" customWidth="1"/>
    <col min="3325" max="3325" width="8.85546875" style="181" customWidth="1"/>
    <col min="3326" max="3326" width="29" style="181" customWidth="1"/>
    <col min="3327" max="3575" width="9.140625" style="181"/>
    <col min="3576" max="3576" width="3.28515625" style="181" customWidth="1"/>
    <col min="3577" max="3577" width="29" style="181" customWidth="1"/>
    <col min="3578" max="3578" width="14" style="181" customWidth="1"/>
    <col min="3579" max="3579" width="11.28515625" style="181" customWidth="1"/>
    <col min="3580" max="3580" width="16.7109375" style="181" customWidth="1"/>
    <col min="3581" max="3581" width="8.85546875" style="181" customWidth="1"/>
    <col min="3582" max="3582" width="29" style="181" customWidth="1"/>
    <col min="3583" max="3831" width="9.140625" style="181"/>
    <col min="3832" max="3832" width="3.28515625" style="181" customWidth="1"/>
    <col min="3833" max="3833" width="29" style="181" customWidth="1"/>
    <col min="3834" max="3834" width="14" style="181" customWidth="1"/>
    <col min="3835" max="3835" width="11.28515625" style="181" customWidth="1"/>
    <col min="3836" max="3836" width="16.7109375" style="181" customWidth="1"/>
    <col min="3837" max="3837" width="8.85546875" style="181" customWidth="1"/>
    <col min="3838" max="3838" width="29" style="181" customWidth="1"/>
    <col min="3839" max="4087" width="9.140625" style="181"/>
    <col min="4088" max="4088" width="3.28515625" style="181" customWidth="1"/>
    <col min="4089" max="4089" width="29" style="181" customWidth="1"/>
    <col min="4090" max="4090" width="14" style="181" customWidth="1"/>
    <col min="4091" max="4091" width="11.28515625" style="181" customWidth="1"/>
    <col min="4092" max="4092" width="16.7109375" style="181" customWidth="1"/>
    <col min="4093" max="4093" width="8.85546875" style="181" customWidth="1"/>
    <col min="4094" max="4094" width="29" style="181" customWidth="1"/>
    <col min="4095" max="4343" width="9.140625" style="181"/>
    <col min="4344" max="4344" width="3.28515625" style="181" customWidth="1"/>
    <col min="4345" max="4345" width="29" style="181" customWidth="1"/>
    <col min="4346" max="4346" width="14" style="181" customWidth="1"/>
    <col min="4347" max="4347" width="11.28515625" style="181" customWidth="1"/>
    <col min="4348" max="4348" width="16.7109375" style="181" customWidth="1"/>
    <col min="4349" max="4349" width="8.85546875" style="181" customWidth="1"/>
    <col min="4350" max="4350" width="29" style="181" customWidth="1"/>
    <col min="4351" max="4599" width="9.140625" style="181"/>
    <col min="4600" max="4600" width="3.28515625" style="181" customWidth="1"/>
    <col min="4601" max="4601" width="29" style="181" customWidth="1"/>
    <col min="4602" max="4602" width="14" style="181" customWidth="1"/>
    <col min="4603" max="4603" width="11.28515625" style="181" customWidth="1"/>
    <col min="4604" max="4604" width="16.7109375" style="181" customWidth="1"/>
    <col min="4605" max="4605" width="8.85546875" style="181" customWidth="1"/>
    <col min="4606" max="4606" width="29" style="181" customWidth="1"/>
    <col min="4607" max="4855" width="9.140625" style="181"/>
    <col min="4856" max="4856" width="3.28515625" style="181" customWidth="1"/>
    <col min="4857" max="4857" width="29" style="181" customWidth="1"/>
    <col min="4858" max="4858" width="14" style="181" customWidth="1"/>
    <col min="4859" max="4859" width="11.28515625" style="181" customWidth="1"/>
    <col min="4860" max="4860" width="16.7109375" style="181" customWidth="1"/>
    <col min="4861" max="4861" width="8.85546875" style="181" customWidth="1"/>
    <col min="4862" max="4862" width="29" style="181" customWidth="1"/>
    <col min="4863" max="5111" width="9.140625" style="181"/>
    <col min="5112" max="5112" width="3.28515625" style="181" customWidth="1"/>
    <col min="5113" max="5113" width="29" style="181" customWidth="1"/>
    <col min="5114" max="5114" width="14" style="181" customWidth="1"/>
    <col min="5115" max="5115" width="11.28515625" style="181" customWidth="1"/>
    <col min="5116" max="5116" width="16.7109375" style="181" customWidth="1"/>
    <col min="5117" max="5117" width="8.85546875" style="181" customWidth="1"/>
    <col min="5118" max="5118" width="29" style="181" customWidth="1"/>
    <col min="5119" max="5367" width="9.140625" style="181"/>
    <col min="5368" max="5368" width="3.28515625" style="181" customWidth="1"/>
    <col min="5369" max="5369" width="29" style="181" customWidth="1"/>
    <col min="5370" max="5370" width="14" style="181" customWidth="1"/>
    <col min="5371" max="5371" width="11.28515625" style="181" customWidth="1"/>
    <col min="5372" max="5372" width="16.7109375" style="181" customWidth="1"/>
    <col min="5373" max="5373" width="8.85546875" style="181" customWidth="1"/>
    <col min="5374" max="5374" width="29" style="181" customWidth="1"/>
    <col min="5375" max="5623" width="9.140625" style="181"/>
    <col min="5624" max="5624" width="3.28515625" style="181" customWidth="1"/>
    <col min="5625" max="5625" width="29" style="181" customWidth="1"/>
    <col min="5626" max="5626" width="14" style="181" customWidth="1"/>
    <col min="5627" max="5627" width="11.28515625" style="181" customWidth="1"/>
    <col min="5628" max="5628" width="16.7109375" style="181" customWidth="1"/>
    <col min="5629" max="5629" width="8.85546875" style="181" customWidth="1"/>
    <col min="5630" max="5630" width="29" style="181" customWidth="1"/>
    <col min="5631" max="5879" width="9.140625" style="181"/>
    <col min="5880" max="5880" width="3.28515625" style="181" customWidth="1"/>
    <col min="5881" max="5881" width="29" style="181" customWidth="1"/>
    <col min="5882" max="5882" width="14" style="181" customWidth="1"/>
    <col min="5883" max="5883" width="11.28515625" style="181" customWidth="1"/>
    <col min="5884" max="5884" width="16.7109375" style="181" customWidth="1"/>
    <col min="5885" max="5885" width="8.85546875" style="181" customWidth="1"/>
    <col min="5886" max="5886" width="29" style="181" customWidth="1"/>
    <col min="5887" max="6135" width="9.140625" style="181"/>
    <col min="6136" max="6136" width="3.28515625" style="181" customWidth="1"/>
    <col min="6137" max="6137" width="29" style="181" customWidth="1"/>
    <col min="6138" max="6138" width="14" style="181" customWidth="1"/>
    <col min="6139" max="6139" width="11.28515625" style="181" customWidth="1"/>
    <col min="6140" max="6140" width="16.7109375" style="181" customWidth="1"/>
    <col min="6141" max="6141" width="8.85546875" style="181" customWidth="1"/>
    <col min="6142" max="6142" width="29" style="181" customWidth="1"/>
    <col min="6143" max="6391" width="9.140625" style="181"/>
    <col min="6392" max="6392" width="3.28515625" style="181" customWidth="1"/>
    <col min="6393" max="6393" width="29" style="181" customWidth="1"/>
    <col min="6394" max="6394" width="14" style="181" customWidth="1"/>
    <col min="6395" max="6395" width="11.28515625" style="181" customWidth="1"/>
    <col min="6396" max="6396" width="16.7109375" style="181" customWidth="1"/>
    <col min="6397" max="6397" width="8.85546875" style="181" customWidth="1"/>
    <col min="6398" max="6398" width="29" style="181" customWidth="1"/>
    <col min="6399" max="6647" width="9.140625" style="181"/>
    <col min="6648" max="6648" width="3.28515625" style="181" customWidth="1"/>
    <col min="6649" max="6649" width="29" style="181" customWidth="1"/>
    <col min="6650" max="6650" width="14" style="181" customWidth="1"/>
    <col min="6651" max="6651" width="11.28515625" style="181" customWidth="1"/>
    <col min="6652" max="6652" width="16.7109375" style="181" customWidth="1"/>
    <col min="6653" max="6653" width="8.85546875" style="181" customWidth="1"/>
    <col min="6654" max="6654" width="29" style="181" customWidth="1"/>
    <col min="6655" max="6903" width="9.140625" style="181"/>
    <col min="6904" max="6904" width="3.28515625" style="181" customWidth="1"/>
    <col min="6905" max="6905" width="29" style="181" customWidth="1"/>
    <col min="6906" max="6906" width="14" style="181" customWidth="1"/>
    <col min="6907" max="6907" width="11.28515625" style="181" customWidth="1"/>
    <col min="6908" max="6908" width="16.7109375" style="181" customWidth="1"/>
    <col min="6909" max="6909" width="8.85546875" style="181" customWidth="1"/>
    <col min="6910" max="6910" width="29" style="181" customWidth="1"/>
    <col min="6911" max="7159" width="9.140625" style="181"/>
    <col min="7160" max="7160" width="3.28515625" style="181" customWidth="1"/>
    <col min="7161" max="7161" width="29" style="181" customWidth="1"/>
    <col min="7162" max="7162" width="14" style="181" customWidth="1"/>
    <col min="7163" max="7163" width="11.28515625" style="181" customWidth="1"/>
    <col min="7164" max="7164" width="16.7109375" style="181" customWidth="1"/>
    <col min="7165" max="7165" width="8.85546875" style="181" customWidth="1"/>
    <col min="7166" max="7166" width="29" style="181" customWidth="1"/>
    <col min="7167" max="7415" width="9.140625" style="181"/>
    <col min="7416" max="7416" width="3.28515625" style="181" customWidth="1"/>
    <col min="7417" max="7417" width="29" style="181" customWidth="1"/>
    <col min="7418" max="7418" width="14" style="181" customWidth="1"/>
    <col min="7419" max="7419" width="11.28515625" style="181" customWidth="1"/>
    <col min="7420" max="7420" width="16.7109375" style="181" customWidth="1"/>
    <col min="7421" max="7421" width="8.85546875" style="181" customWidth="1"/>
    <col min="7422" max="7422" width="29" style="181" customWidth="1"/>
    <col min="7423" max="7671" width="9.140625" style="181"/>
    <col min="7672" max="7672" width="3.28515625" style="181" customWidth="1"/>
    <col min="7673" max="7673" width="29" style="181" customWidth="1"/>
    <col min="7674" max="7674" width="14" style="181" customWidth="1"/>
    <col min="7675" max="7675" width="11.28515625" style="181" customWidth="1"/>
    <col min="7676" max="7676" width="16.7109375" style="181" customWidth="1"/>
    <col min="7677" max="7677" width="8.85546875" style="181" customWidth="1"/>
    <col min="7678" max="7678" width="29" style="181" customWidth="1"/>
    <col min="7679" max="7927" width="9.140625" style="181"/>
    <col min="7928" max="7928" width="3.28515625" style="181" customWidth="1"/>
    <col min="7929" max="7929" width="29" style="181" customWidth="1"/>
    <col min="7930" max="7930" width="14" style="181" customWidth="1"/>
    <col min="7931" max="7931" width="11.28515625" style="181" customWidth="1"/>
    <col min="7932" max="7932" width="16.7109375" style="181" customWidth="1"/>
    <col min="7933" max="7933" width="8.85546875" style="181" customWidth="1"/>
    <col min="7934" max="7934" width="29" style="181" customWidth="1"/>
    <col min="7935" max="8183" width="9.140625" style="181"/>
    <col min="8184" max="8184" width="3.28515625" style="181" customWidth="1"/>
    <col min="8185" max="8185" width="29" style="181" customWidth="1"/>
    <col min="8186" max="8186" width="14" style="181" customWidth="1"/>
    <col min="8187" max="8187" width="11.28515625" style="181" customWidth="1"/>
    <col min="8188" max="8188" width="16.7109375" style="181" customWidth="1"/>
    <col min="8189" max="8189" width="8.85546875" style="181" customWidth="1"/>
    <col min="8190" max="8190" width="29" style="181" customWidth="1"/>
    <col min="8191" max="8439" width="9.140625" style="181"/>
    <col min="8440" max="8440" width="3.28515625" style="181" customWidth="1"/>
    <col min="8441" max="8441" width="29" style="181" customWidth="1"/>
    <col min="8442" max="8442" width="14" style="181" customWidth="1"/>
    <col min="8443" max="8443" width="11.28515625" style="181" customWidth="1"/>
    <col min="8444" max="8444" width="16.7109375" style="181" customWidth="1"/>
    <col min="8445" max="8445" width="8.85546875" style="181" customWidth="1"/>
    <col min="8446" max="8446" width="29" style="181" customWidth="1"/>
    <col min="8447" max="8695" width="9.140625" style="181"/>
    <col min="8696" max="8696" width="3.28515625" style="181" customWidth="1"/>
    <col min="8697" max="8697" width="29" style="181" customWidth="1"/>
    <col min="8698" max="8698" width="14" style="181" customWidth="1"/>
    <col min="8699" max="8699" width="11.28515625" style="181" customWidth="1"/>
    <col min="8700" max="8700" width="16.7109375" style="181" customWidth="1"/>
    <col min="8701" max="8701" width="8.85546875" style="181" customWidth="1"/>
    <col min="8702" max="8702" width="29" style="181" customWidth="1"/>
    <col min="8703" max="8951" width="9.140625" style="181"/>
    <col min="8952" max="8952" width="3.28515625" style="181" customWidth="1"/>
    <col min="8953" max="8953" width="29" style="181" customWidth="1"/>
    <col min="8954" max="8954" width="14" style="181" customWidth="1"/>
    <col min="8955" max="8955" width="11.28515625" style="181" customWidth="1"/>
    <col min="8956" max="8956" width="16.7109375" style="181" customWidth="1"/>
    <col min="8957" max="8957" width="8.85546875" style="181" customWidth="1"/>
    <col min="8958" max="8958" width="29" style="181" customWidth="1"/>
    <col min="8959" max="9207" width="9.140625" style="181"/>
    <col min="9208" max="9208" width="3.28515625" style="181" customWidth="1"/>
    <col min="9209" max="9209" width="29" style="181" customWidth="1"/>
    <col min="9210" max="9210" width="14" style="181" customWidth="1"/>
    <col min="9211" max="9211" width="11.28515625" style="181" customWidth="1"/>
    <col min="9212" max="9212" width="16.7109375" style="181" customWidth="1"/>
    <col min="9213" max="9213" width="8.85546875" style="181" customWidth="1"/>
    <col min="9214" max="9214" width="29" style="181" customWidth="1"/>
    <col min="9215" max="9463" width="9.140625" style="181"/>
    <col min="9464" max="9464" width="3.28515625" style="181" customWidth="1"/>
    <col min="9465" max="9465" width="29" style="181" customWidth="1"/>
    <col min="9466" max="9466" width="14" style="181" customWidth="1"/>
    <col min="9467" max="9467" width="11.28515625" style="181" customWidth="1"/>
    <col min="9468" max="9468" width="16.7109375" style="181" customWidth="1"/>
    <col min="9469" max="9469" width="8.85546875" style="181" customWidth="1"/>
    <col min="9470" max="9470" width="29" style="181" customWidth="1"/>
    <col min="9471" max="9719" width="9.140625" style="181"/>
    <col min="9720" max="9720" width="3.28515625" style="181" customWidth="1"/>
    <col min="9721" max="9721" width="29" style="181" customWidth="1"/>
    <col min="9722" max="9722" width="14" style="181" customWidth="1"/>
    <col min="9723" max="9723" width="11.28515625" style="181" customWidth="1"/>
    <col min="9724" max="9724" width="16.7109375" style="181" customWidth="1"/>
    <col min="9725" max="9725" width="8.85546875" style="181" customWidth="1"/>
    <col min="9726" max="9726" width="29" style="181" customWidth="1"/>
    <col min="9727" max="9975" width="9.140625" style="181"/>
    <col min="9976" max="9976" width="3.28515625" style="181" customWidth="1"/>
    <col min="9977" max="9977" width="29" style="181" customWidth="1"/>
    <col min="9978" max="9978" width="14" style="181" customWidth="1"/>
    <col min="9979" max="9979" width="11.28515625" style="181" customWidth="1"/>
    <col min="9980" max="9980" width="16.7109375" style="181" customWidth="1"/>
    <col min="9981" max="9981" width="8.85546875" style="181" customWidth="1"/>
    <col min="9982" max="9982" width="29" style="181" customWidth="1"/>
    <col min="9983" max="10231" width="9.140625" style="181"/>
    <col min="10232" max="10232" width="3.28515625" style="181" customWidth="1"/>
    <col min="10233" max="10233" width="29" style="181" customWidth="1"/>
    <col min="10234" max="10234" width="14" style="181" customWidth="1"/>
    <col min="10235" max="10235" width="11.28515625" style="181" customWidth="1"/>
    <col min="10236" max="10236" width="16.7109375" style="181" customWidth="1"/>
    <col min="10237" max="10237" width="8.85546875" style="181" customWidth="1"/>
    <col min="10238" max="10238" width="29" style="181" customWidth="1"/>
    <col min="10239" max="10487" width="9.140625" style="181"/>
    <col min="10488" max="10488" width="3.28515625" style="181" customWidth="1"/>
    <col min="10489" max="10489" width="29" style="181" customWidth="1"/>
    <col min="10490" max="10490" width="14" style="181" customWidth="1"/>
    <col min="10491" max="10491" width="11.28515625" style="181" customWidth="1"/>
    <col min="10492" max="10492" width="16.7109375" style="181" customWidth="1"/>
    <col min="10493" max="10493" width="8.85546875" style="181" customWidth="1"/>
    <col min="10494" max="10494" width="29" style="181" customWidth="1"/>
    <col min="10495" max="10743" width="9.140625" style="181"/>
    <col min="10744" max="10744" width="3.28515625" style="181" customWidth="1"/>
    <col min="10745" max="10745" width="29" style="181" customWidth="1"/>
    <col min="10746" max="10746" width="14" style="181" customWidth="1"/>
    <col min="10747" max="10747" width="11.28515625" style="181" customWidth="1"/>
    <col min="10748" max="10748" width="16.7109375" style="181" customWidth="1"/>
    <col min="10749" max="10749" width="8.85546875" style="181" customWidth="1"/>
    <col min="10750" max="10750" width="29" style="181" customWidth="1"/>
    <col min="10751" max="10999" width="9.140625" style="181"/>
    <col min="11000" max="11000" width="3.28515625" style="181" customWidth="1"/>
    <col min="11001" max="11001" width="29" style="181" customWidth="1"/>
    <col min="11002" max="11002" width="14" style="181" customWidth="1"/>
    <col min="11003" max="11003" width="11.28515625" style="181" customWidth="1"/>
    <col min="11004" max="11004" width="16.7109375" style="181" customWidth="1"/>
    <col min="11005" max="11005" width="8.85546875" style="181" customWidth="1"/>
    <col min="11006" max="11006" width="29" style="181" customWidth="1"/>
    <col min="11007" max="11255" width="9.140625" style="181"/>
    <col min="11256" max="11256" width="3.28515625" style="181" customWidth="1"/>
    <col min="11257" max="11257" width="29" style="181" customWidth="1"/>
    <col min="11258" max="11258" width="14" style="181" customWidth="1"/>
    <col min="11259" max="11259" width="11.28515625" style="181" customWidth="1"/>
    <col min="11260" max="11260" width="16.7109375" style="181" customWidth="1"/>
    <col min="11261" max="11261" width="8.85546875" style="181" customWidth="1"/>
    <col min="11262" max="11262" width="29" style="181" customWidth="1"/>
    <col min="11263" max="11511" width="9.140625" style="181"/>
    <col min="11512" max="11512" width="3.28515625" style="181" customWidth="1"/>
    <col min="11513" max="11513" width="29" style="181" customWidth="1"/>
    <col min="11514" max="11514" width="14" style="181" customWidth="1"/>
    <col min="11515" max="11515" width="11.28515625" style="181" customWidth="1"/>
    <col min="11516" max="11516" width="16.7109375" style="181" customWidth="1"/>
    <col min="11517" max="11517" width="8.85546875" style="181" customWidth="1"/>
    <col min="11518" max="11518" width="29" style="181" customWidth="1"/>
    <col min="11519" max="11767" width="9.140625" style="181"/>
    <col min="11768" max="11768" width="3.28515625" style="181" customWidth="1"/>
    <col min="11769" max="11769" width="29" style="181" customWidth="1"/>
    <col min="11770" max="11770" width="14" style="181" customWidth="1"/>
    <col min="11771" max="11771" width="11.28515625" style="181" customWidth="1"/>
    <col min="11772" max="11772" width="16.7109375" style="181" customWidth="1"/>
    <col min="11773" max="11773" width="8.85546875" style="181" customWidth="1"/>
    <col min="11774" max="11774" width="29" style="181" customWidth="1"/>
    <col min="11775" max="12023" width="9.140625" style="181"/>
    <col min="12024" max="12024" width="3.28515625" style="181" customWidth="1"/>
    <col min="12025" max="12025" width="29" style="181" customWidth="1"/>
    <col min="12026" max="12026" width="14" style="181" customWidth="1"/>
    <col min="12027" max="12027" width="11.28515625" style="181" customWidth="1"/>
    <col min="12028" max="12028" width="16.7109375" style="181" customWidth="1"/>
    <col min="12029" max="12029" width="8.85546875" style="181" customWidth="1"/>
    <col min="12030" max="12030" width="29" style="181" customWidth="1"/>
    <col min="12031" max="12279" width="9.140625" style="181"/>
    <col min="12280" max="12280" width="3.28515625" style="181" customWidth="1"/>
    <col min="12281" max="12281" width="29" style="181" customWidth="1"/>
    <col min="12282" max="12282" width="14" style="181" customWidth="1"/>
    <col min="12283" max="12283" width="11.28515625" style="181" customWidth="1"/>
    <col min="12284" max="12284" width="16.7109375" style="181" customWidth="1"/>
    <col min="12285" max="12285" width="8.85546875" style="181" customWidth="1"/>
    <col min="12286" max="12286" width="29" style="181" customWidth="1"/>
    <col min="12287" max="12535" width="9.140625" style="181"/>
    <col min="12536" max="12536" width="3.28515625" style="181" customWidth="1"/>
    <col min="12537" max="12537" width="29" style="181" customWidth="1"/>
    <col min="12538" max="12538" width="14" style="181" customWidth="1"/>
    <col min="12539" max="12539" width="11.28515625" style="181" customWidth="1"/>
    <col min="12540" max="12540" width="16.7109375" style="181" customWidth="1"/>
    <col min="12541" max="12541" width="8.85546875" style="181" customWidth="1"/>
    <col min="12542" max="12542" width="29" style="181" customWidth="1"/>
    <col min="12543" max="12791" width="9.140625" style="181"/>
    <col min="12792" max="12792" width="3.28515625" style="181" customWidth="1"/>
    <col min="12793" max="12793" width="29" style="181" customWidth="1"/>
    <col min="12794" max="12794" width="14" style="181" customWidth="1"/>
    <col min="12795" max="12795" width="11.28515625" style="181" customWidth="1"/>
    <col min="12796" max="12796" width="16.7109375" style="181" customWidth="1"/>
    <col min="12797" max="12797" width="8.85546875" style="181" customWidth="1"/>
    <col min="12798" max="12798" width="29" style="181" customWidth="1"/>
    <col min="12799" max="13047" width="9.140625" style="181"/>
    <col min="13048" max="13048" width="3.28515625" style="181" customWidth="1"/>
    <col min="13049" max="13049" width="29" style="181" customWidth="1"/>
    <col min="13050" max="13050" width="14" style="181" customWidth="1"/>
    <col min="13051" max="13051" width="11.28515625" style="181" customWidth="1"/>
    <col min="13052" max="13052" width="16.7109375" style="181" customWidth="1"/>
    <col min="13053" max="13053" width="8.85546875" style="181" customWidth="1"/>
    <col min="13054" max="13054" width="29" style="181" customWidth="1"/>
    <col min="13055" max="13303" width="9.140625" style="181"/>
    <col min="13304" max="13304" width="3.28515625" style="181" customWidth="1"/>
    <col min="13305" max="13305" width="29" style="181" customWidth="1"/>
    <col min="13306" max="13306" width="14" style="181" customWidth="1"/>
    <col min="13307" max="13307" width="11.28515625" style="181" customWidth="1"/>
    <col min="13308" max="13308" width="16.7109375" style="181" customWidth="1"/>
    <col min="13309" max="13309" width="8.85546875" style="181" customWidth="1"/>
    <col min="13310" max="13310" width="29" style="181" customWidth="1"/>
    <col min="13311" max="13559" width="9.140625" style="181"/>
    <col min="13560" max="13560" width="3.28515625" style="181" customWidth="1"/>
    <col min="13561" max="13561" width="29" style="181" customWidth="1"/>
    <col min="13562" max="13562" width="14" style="181" customWidth="1"/>
    <col min="13563" max="13563" width="11.28515625" style="181" customWidth="1"/>
    <col min="13564" max="13564" width="16.7109375" style="181" customWidth="1"/>
    <col min="13565" max="13565" width="8.85546875" style="181" customWidth="1"/>
    <col min="13566" max="13566" width="29" style="181" customWidth="1"/>
    <col min="13567" max="13815" width="9.140625" style="181"/>
    <col min="13816" max="13816" width="3.28515625" style="181" customWidth="1"/>
    <col min="13817" max="13817" width="29" style="181" customWidth="1"/>
    <col min="13818" max="13818" width="14" style="181" customWidth="1"/>
    <col min="13819" max="13819" width="11.28515625" style="181" customWidth="1"/>
    <col min="13820" max="13820" width="16.7109375" style="181" customWidth="1"/>
    <col min="13821" max="13821" width="8.85546875" style="181" customWidth="1"/>
    <col min="13822" max="13822" width="29" style="181" customWidth="1"/>
    <col min="13823" max="14071" width="9.140625" style="181"/>
    <col min="14072" max="14072" width="3.28515625" style="181" customWidth="1"/>
    <col min="14073" max="14073" width="29" style="181" customWidth="1"/>
    <col min="14074" max="14074" width="14" style="181" customWidth="1"/>
    <col min="14075" max="14075" width="11.28515625" style="181" customWidth="1"/>
    <col min="14076" max="14076" width="16.7109375" style="181" customWidth="1"/>
    <col min="14077" max="14077" width="8.85546875" style="181" customWidth="1"/>
    <col min="14078" max="14078" width="29" style="181" customWidth="1"/>
    <col min="14079" max="14327" width="9.140625" style="181"/>
    <col min="14328" max="14328" width="3.28515625" style="181" customWidth="1"/>
    <col min="14329" max="14329" width="29" style="181" customWidth="1"/>
    <col min="14330" max="14330" width="14" style="181" customWidth="1"/>
    <col min="14331" max="14331" width="11.28515625" style="181" customWidth="1"/>
    <col min="14332" max="14332" width="16.7109375" style="181" customWidth="1"/>
    <col min="14333" max="14333" width="8.85546875" style="181" customWidth="1"/>
    <col min="14334" max="14334" width="29" style="181" customWidth="1"/>
    <col min="14335" max="14583" width="9.140625" style="181"/>
    <col min="14584" max="14584" width="3.28515625" style="181" customWidth="1"/>
    <col min="14585" max="14585" width="29" style="181" customWidth="1"/>
    <col min="14586" max="14586" width="14" style="181" customWidth="1"/>
    <col min="14587" max="14587" width="11.28515625" style="181" customWidth="1"/>
    <col min="14588" max="14588" width="16.7109375" style="181" customWidth="1"/>
    <col min="14589" max="14589" width="8.85546875" style="181" customWidth="1"/>
    <col min="14590" max="14590" width="29" style="181" customWidth="1"/>
    <col min="14591" max="14839" width="9.140625" style="181"/>
    <col min="14840" max="14840" width="3.28515625" style="181" customWidth="1"/>
    <col min="14841" max="14841" width="29" style="181" customWidth="1"/>
    <col min="14842" max="14842" width="14" style="181" customWidth="1"/>
    <col min="14843" max="14843" width="11.28515625" style="181" customWidth="1"/>
    <col min="14844" max="14844" width="16.7109375" style="181" customWidth="1"/>
    <col min="14845" max="14845" width="8.85546875" style="181" customWidth="1"/>
    <col min="14846" max="14846" width="29" style="181" customWidth="1"/>
    <col min="14847" max="15095" width="9.140625" style="181"/>
    <col min="15096" max="15096" width="3.28515625" style="181" customWidth="1"/>
    <col min="15097" max="15097" width="29" style="181" customWidth="1"/>
    <col min="15098" max="15098" width="14" style="181" customWidth="1"/>
    <col min="15099" max="15099" width="11.28515625" style="181" customWidth="1"/>
    <col min="15100" max="15100" width="16.7109375" style="181" customWidth="1"/>
    <col min="15101" max="15101" width="8.85546875" style="181" customWidth="1"/>
    <col min="15102" max="15102" width="29" style="181" customWidth="1"/>
    <col min="15103" max="15351" width="9.140625" style="181"/>
    <col min="15352" max="15352" width="3.28515625" style="181" customWidth="1"/>
    <col min="15353" max="15353" width="29" style="181" customWidth="1"/>
    <col min="15354" max="15354" width="14" style="181" customWidth="1"/>
    <col min="15355" max="15355" width="11.28515625" style="181" customWidth="1"/>
    <col min="15356" max="15356" width="16.7109375" style="181" customWidth="1"/>
    <col min="15357" max="15357" width="8.85546875" style="181" customWidth="1"/>
    <col min="15358" max="15358" width="29" style="181" customWidth="1"/>
    <col min="15359" max="15607" width="9.140625" style="181"/>
    <col min="15608" max="15608" width="3.28515625" style="181" customWidth="1"/>
    <col min="15609" max="15609" width="29" style="181" customWidth="1"/>
    <col min="15610" max="15610" width="14" style="181" customWidth="1"/>
    <col min="15611" max="15611" width="11.28515625" style="181" customWidth="1"/>
    <col min="15612" max="15612" width="16.7109375" style="181" customWidth="1"/>
    <col min="15613" max="15613" width="8.85546875" style="181" customWidth="1"/>
    <col min="15614" max="15614" width="29" style="181" customWidth="1"/>
    <col min="15615" max="15863" width="9.140625" style="181"/>
    <col min="15864" max="15864" width="3.28515625" style="181" customWidth="1"/>
    <col min="15865" max="15865" width="29" style="181" customWidth="1"/>
    <col min="15866" max="15866" width="14" style="181" customWidth="1"/>
    <col min="15867" max="15867" width="11.28515625" style="181" customWidth="1"/>
    <col min="15868" max="15868" width="16.7109375" style="181" customWidth="1"/>
    <col min="15869" max="15869" width="8.85546875" style="181" customWidth="1"/>
    <col min="15870" max="15870" width="29" style="181" customWidth="1"/>
    <col min="15871" max="16119" width="9.140625" style="181"/>
    <col min="16120" max="16120" width="3.28515625" style="181" customWidth="1"/>
    <col min="16121" max="16121" width="29" style="181" customWidth="1"/>
    <col min="16122" max="16122" width="14" style="181" customWidth="1"/>
    <col min="16123" max="16123" width="11.28515625" style="181" customWidth="1"/>
    <col min="16124" max="16124" width="16.7109375" style="181" customWidth="1"/>
    <col min="16125" max="16125" width="8.85546875" style="181" customWidth="1"/>
    <col min="16126" max="16126" width="29" style="181" customWidth="1"/>
    <col min="16127" max="16384" width="9.140625" style="181"/>
  </cols>
  <sheetData>
    <row r="1" spans="1:247" ht="15.75"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247" ht="23.25">
      <c r="A2" s="183"/>
      <c r="B2" s="183"/>
      <c r="C2" s="381" t="s">
        <v>192</v>
      </c>
      <c r="D2" s="381"/>
      <c r="E2" s="381"/>
      <c r="F2" s="381"/>
      <c r="G2" s="381"/>
      <c r="H2" s="381"/>
      <c r="I2" s="381"/>
      <c r="J2" s="381"/>
      <c r="K2" s="381"/>
      <c r="L2" s="184"/>
    </row>
    <row r="3" spans="1:247" ht="15.75">
      <c r="A3" s="183"/>
      <c r="B3" s="183"/>
      <c r="C3" s="182"/>
      <c r="D3" s="182"/>
      <c r="E3" s="183"/>
      <c r="F3" s="183"/>
      <c r="G3" s="183"/>
      <c r="H3" s="182"/>
      <c r="I3" s="182"/>
      <c r="J3" s="182"/>
      <c r="K3" s="182"/>
      <c r="L3" s="182"/>
    </row>
    <row r="4" spans="1:247" ht="21" customHeight="1">
      <c r="A4" s="183"/>
      <c r="B4" s="183"/>
      <c r="C4" s="182"/>
      <c r="D4" s="182"/>
      <c r="E4" s="183"/>
      <c r="F4" s="183"/>
      <c r="G4" s="183"/>
      <c r="H4" s="182"/>
      <c r="I4" s="182"/>
      <c r="J4" s="182"/>
      <c r="K4" s="182"/>
      <c r="L4" s="182"/>
    </row>
    <row r="5" spans="1:247" ht="15.75">
      <c r="A5" s="382" t="s">
        <v>193</v>
      </c>
      <c r="B5" s="382"/>
      <c r="C5" s="382"/>
      <c r="D5" s="382"/>
      <c r="E5" s="382"/>
      <c r="F5" s="382"/>
      <c r="G5" s="382"/>
      <c r="H5" s="382"/>
      <c r="I5" s="185"/>
      <c r="J5" s="182"/>
      <c r="K5" s="182"/>
      <c r="L5" s="182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6"/>
      <c r="BB5" s="186"/>
      <c r="BC5" s="186"/>
      <c r="BD5" s="186"/>
      <c r="BE5" s="186"/>
      <c r="BF5" s="186"/>
      <c r="BG5" s="186"/>
      <c r="BH5" s="186"/>
      <c r="BI5" s="186"/>
      <c r="BJ5" s="186"/>
      <c r="BK5" s="186"/>
      <c r="BL5" s="186"/>
      <c r="BM5" s="186"/>
      <c r="BN5" s="186"/>
      <c r="BO5" s="186"/>
      <c r="BP5" s="186"/>
      <c r="BQ5" s="186"/>
      <c r="BR5" s="186"/>
      <c r="BS5" s="186"/>
      <c r="BT5" s="186"/>
      <c r="BU5" s="186"/>
      <c r="BV5" s="186"/>
      <c r="BW5" s="186"/>
      <c r="BX5" s="186"/>
      <c r="BY5" s="186"/>
      <c r="BZ5" s="186"/>
      <c r="CA5" s="186"/>
      <c r="CB5" s="186"/>
      <c r="CC5" s="186"/>
      <c r="CD5" s="186"/>
      <c r="CE5" s="186"/>
      <c r="CF5" s="186"/>
      <c r="CG5" s="186"/>
      <c r="CH5" s="186"/>
      <c r="CI5" s="186"/>
      <c r="CJ5" s="186"/>
      <c r="CK5" s="186"/>
      <c r="CL5" s="186"/>
      <c r="CM5" s="186"/>
      <c r="CN5" s="186"/>
      <c r="CO5" s="186"/>
      <c r="CP5" s="186"/>
      <c r="CQ5" s="186"/>
      <c r="CR5" s="186"/>
      <c r="CS5" s="186"/>
      <c r="CT5" s="186"/>
      <c r="CU5" s="186"/>
      <c r="CV5" s="186"/>
      <c r="CW5" s="186"/>
      <c r="CX5" s="186"/>
      <c r="CY5" s="186"/>
      <c r="CZ5" s="186"/>
      <c r="DA5" s="186"/>
      <c r="DB5" s="186"/>
      <c r="DC5" s="186"/>
      <c r="DD5" s="186"/>
      <c r="DE5" s="186"/>
      <c r="DF5" s="186"/>
      <c r="DG5" s="186"/>
      <c r="DH5" s="186"/>
      <c r="DI5" s="186"/>
      <c r="DJ5" s="186"/>
      <c r="DK5" s="186"/>
      <c r="DL5" s="186"/>
      <c r="DM5" s="186"/>
      <c r="DN5" s="186"/>
      <c r="DO5" s="186"/>
      <c r="DP5" s="186"/>
      <c r="DQ5" s="186"/>
      <c r="DR5" s="186"/>
      <c r="DS5" s="186"/>
      <c r="DT5" s="186"/>
      <c r="DU5" s="186"/>
      <c r="DV5" s="186"/>
      <c r="DW5" s="186"/>
      <c r="DX5" s="186"/>
      <c r="DY5" s="186"/>
      <c r="DZ5" s="186"/>
      <c r="EA5" s="186"/>
      <c r="EB5" s="186"/>
      <c r="EC5" s="186"/>
      <c r="ED5" s="186"/>
      <c r="EE5" s="186"/>
      <c r="EF5" s="186"/>
      <c r="EG5" s="186"/>
      <c r="EH5" s="186"/>
      <c r="EI5" s="186"/>
      <c r="EJ5" s="186"/>
      <c r="EK5" s="186"/>
      <c r="EL5" s="186"/>
      <c r="EM5" s="186"/>
      <c r="EN5" s="186"/>
      <c r="EO5" s="186"/>
      <c r="EP5" s="186"/>
      <c r="EQ5" s="186"/>
      <c r="ER5" s="186"/>
      <c r="ES5" s="186"/>
      <c r="ET5" s="186"/>
      <c r="EU5" s="186"/>
      <c r="EV5" s="186"/>
      <c r="EW5" s="186"/>
      <c r="EX5" s="186"/>
      <c r="EY5" s="186"/>
      <c r="EZ5" s="186"/>
      <c r="FA5" s="186"/>
      <c r="FB5" s="186"/>
      <c r="FC5" s="186"/>
      <c r="FD5" s="186"/>
      <c r="FE5" s="186"/>
      <c r="FF5" s="186"/>
      <c r="FG5" s="186"/>
      <c r="FH5" s="186"/>
      <c r="FI5" s="186"/>
      <c r="FJ5" s="186"/>
      <c r="FK5" s="186"/>
      <c r="FL5" s="186"/>
      <c r="FM5" s="186"/>
      <c r="FN5" s="186"/>
      <c r="FO5" s="186"/>
      <c r="FP5" s="186"/>
      <c r="FQ5" s="186"/>
      <c r="FR5" s="186"/>
      <c r="FS5" s="186"/>
      <c r="FT5" s="186"/>
      <c r="FU5" s="186"/>
      <c r="FV5" s="186"/>
      <c r="FW5" s="186"/>
      <c r="FX5" s="186"/>
      <c r="FY5" s="186"/>
      <c r="FZ5" s="186"/>
      <c r="GA5" s="186"/>
      <c r="GB5" s="186"/>
      <c r="GC5" s="186"/>
      <c r="GD5" s="186"/>
      <c r="GE5" s="186"/>
      <c r="GF5" s="186"/>
      <c r="GG5" s="186"/>
      <c r="GH5" s="186"/>
      <c r="GI5" s="186"/>
      <c r="GJ5" s="186"/>
      <c r="GK5" s="186"/>
      <c r="GL5" s="186"/>
      <c r="GM5" s="186"/>
      <c r="GN5" s="186"/>
      <c r="GO5" s="186"/>
      <c r="GP5" s="186"/>
      <c r="GQ5" s="186"/>
      <c r="GR5" s="186"/>
      <c r="GS5" s="186"/>
      <c r="GT5" s="186"/>
      <c r="GU5" s="186"/>
      <c r="GV5" s="186"/>
      <c r="GW5" s="186"/>
      <c r="GX5" s="186"/>
      <c r="GY5" s="186"/>
      <c r="GZ5" s="186"/>
      <c r="HA5" s="186"/>
      <c r="HB5" s="186"/>
      <c r="HC5" s="186"/>
      <c r="HD5" s="186"/>
      <c r="HE5" s="186"/>
      <c r="HF5" s="186"/>
      <c r="HG5" s="186"/>
      <c r="HH5" s="186"/>
      <c r="HI5" s="186"/>
      <c r="HJ5" s="186"/>
      <c r="HK5" s="186"/>
      <c r="HL5" s="186"/>
      <c r="HM5" s="186"/>
      <c r="HN5" s="186"/>
      <c r="HO5" s="186"/>
      <c r="HP5" s="186"/>
      <c r="HQ5" s="186"/>
      <c r="HR5" s="186"/>
      <c r="HS5" s="186"/>
      <c r="HT5" s="186"/>
      <c r="HU5" s="186"/>
      <c r="HV5" s="186"/>
      <c r="HW5" s="186"/>
      <c r="HX5" s="186"/>
      <c r="HY5" s="186"/>
      <c r="HZ5" s="186"/>
      <c r="IA5" s="186"/>
      <c r="IB5" s="186"/>
      <c r="IC5" s="186"/>
      <c r="ID5" s="186"/>
      <c r="IE5" s="186"/>
      <c r="IF5" s="186"/>
      <c r="IG5" s="186"/>
      <c r="IH5" s="186"/>
      <c r="II5" s="186"/>
      <c r="IJ5" s="186"/>
      <c r="IK5" s="186"/>
      <c r="IL5" s="186"/>
      <c r="IM5" s="186"/>
    </row>
    <row r="6" spans="1:247" ht="18">
      <c r="A6" s="383" t="s">
        <v>194</v>
      </c>
      <c r="B6" s="383"/>
      <c r="C6" s="383"/>
      <c r="D6" s="383"/>
      <c r="E6" s="383"/>
      <c r="F6" s="383"/>
      <c r="G6" s="383"/>
      <c r="H6" s="383"/>
      <c r="I6" s="187"/>
      <c r="J6" s="182"/>
      <c r="K6" s="182"/>
      <c r="L6" s="182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188"/>
      <c r="AQ6" s="188"/>
      <c r="AR6" s="188"/>
      <c r="AS6" s="188"/>
      <c r="AT6" s="188"/>
      <c r="AU6" s="188"/>
      <c r="AV6" s="188"/>
      <c r="AW6" s="188"/>
      <c r="AX6" s="188"/>
      <c r="AY6" s="188"/>
      <c r="AZ6" s="188"/>
      <c r="BA6" s="188"/>
      <c r="BB6" s="188"/>
      <c r="BC6" s="188"/>
      <c r="BD6" s="188"/>
      <c r="BE6" s="188"/>
      <c r="BF6" s="188"/>
      <c r="BG6" s="188"/>
      <c r="BH6" s="188"/>
      <c r="BI6" s="188"/>
      <c r="BJ6" s="188"/>
      <c r="BK6" s="188"/>
      <c r="BL6" s="188"/>
      <c r="BM6" s="188"/>
      <c r="BN6" s="188"/>
      <c r="BO6" s="188"/>
      <c r="BP6" s="188"/>
      <c r="BQ6" s="188"/>
      <c r="BR6" s="188"/>
      <c r="BS6" s="188"/>
      <c r="BT6" s="188"/>
      <c r="BU6" s="188"/>
      <c r="BV6" s="188"/>
      <c r="BW6" s="188"/>
      <c r="BX6" s="188"/>
      <c r="BY6" s="188"/>
      <c r="BZ6" s="188"/>
      <c r="CA6" s="188"/>
      <c r="CB6" s="188"/>
      <c r="CC6" s="188"/>
      <c r="CD6" s="188"/>
      <c r="CE6" s="188"/>
      <c r="CF6" s="188"/>
      <c r="CG6" s="188"/>
      <c r="CH6" s="188"/>
      <c r="CI6" s="188"/>
      <c r="CJ6" s="188"/>
      <c r="CK6" s="188"/>
      <c r="CL6" s="188"/>
      <c r="CM6" s="188"/>
      <c r="CN6" s="188"/>
      <c r="CO6" s="188"/>
      <c r="CP6" s="188"/>
      <c r="CQ6" s="188"/>
      <c r="CR6" s="188"/>
      <c r="CS6" s="188"/>
      <c r="CT6" s="188"/>
      <c r="CU6" s="188"/>
      <c r="CV6" s="188"/>
      <c r="CW6" s="188"/>
      <c r="CX6" s="188"/>
      <c r="CY6" s="188"/>
      <c r="CZ6" s="188"/>
      <c r="DA6" s="188"/>
      <c r="DB6" s="188"/>
      <c r="DC6" s="188"/>
      <c r="DD6" s="188"/>
      <c r="DE6" s="188"/>
      <c r="DF6" s="188"/>
      <c r="DG6" s="188"/>
      <c r="DH6" s="188"/>
      <c r="DI6" s="188"/>
      <c r="DJ6" s="188"/>
      <c r="DK6" s="188"/>
      <c r="DL6" s="188"/>
      <c r="DM6" s="188"/>
      <c r="DN6" s="188"/>
      <c r="DO6" s="188"/>
      <c r="DP6" s="188"/>
      <c r="DQ6" s="188"/>
      <c r="DR6" s="188"/>
      <c r="DS6" s="188"/>
      <c r="DT6" s="188"/>
      <c r="DU6" s="188"/>
      <c r="DV6" s="188"/>
      <c r="DW6" s="188"/>
      <c r="DX6" s="188"/>
      <c r="DY6" s="188"/>
      <c r="DZ6" s="188"/>
      <c r="EA6" s="188"/>
      <c r="EB6" s="188"/>
      <c r="EC6" s="188"/>
      <c r="ED6" s="188"/>
      <c r="EE6" s="188"/>
      <c r="EF6" s="188"/>
      <c r="EG6" s="188"/>
      <c r="EH6" s="188"/>
      <c r="EI6" s="188"/>
      <c r="EJ6" s="188"/>
      <c r="EK6" s="188"/>
      <c r="EL6" s="188"/>
      <c r="EM6" s="188"/>
      <c r="EN6" s="188"/>
      <c r="EO6" s="188"/>
      <c r="EP6" s="188"/>
      <c r="EQ6" s="188"/>
      <c r="ER6" s="188"/>
      <c r="ES6" s="188"/>
      <c r="ET6" s="188"/>
      <c r="EU6" s="188"/>
      <c r="EV6" s="188"/>
      <c r="EW6" s="188"/>
      <c r="EX6" s="188"/>
      <c r="EY6" s="188"/>
      <c r="EZ6" s="188"/>
      <c r="FA6" s="188"/>
      <c r="FB6" s="188"/>
      <c r="FC6" s="188"/>
      <c r="FD6" s="188"/>
      <c r="FE6" s="188"/>
      <c r="FF6" s="188"/>
      <c r="FG6" s="188"/>
      <c r="FH6" s="188"/>
      <c r="FI6" s="188"/>
      <c r="FJ6" s="188"/>
      <c r="FK6" s="188"/>
      <c r="FL6" s="188"/>
      <c r="FM6" s="188"/>
      <c r="FN6" s="188"/>
      <c r="FO6" s="188"/>
      <c r="FP6" s="188"/>
      <c r="FQ6" s="188"/>
      <c r="FR6" s="188"/>
      <c r="FS6" s="188"/>
      <c r="FT6" s="188"/>
      <c r="FU6" s="188"/>
      <c r="FV6" s="188"/>
      <c r="FW6" s="188"/>
      <c r="FX6" s="188"/>
      <c r="FY6" s="188"/>
      <c r="FZ6" s="188"/>
      <c r="GA6" s="188"/>
      <c r="GB6" s="188"/>
      <c r="GC6" s="188"/>
      <c r="GD6" s="188"/>
      <c r="GE6" s="188"/>
      <c r="GF6" s="188"/>
      <c r="GG6" s="188"/>
      <c r="GH6" s="188"/>
      <c r="GI6" s="188"/>
      <c r="GJ6" s="188"/>
      <c r="GK6" s="188"/>
      <c r="GL6" s="188"/>
      <c r="GM6" s="188"/>
      <c r="GN6" s="188"/>
      <c r="GO6" s="188"/>
      <c r="GP6" s="188"/>
      <c r="GQ6" s="188"/>
      <c r="GR6" s="188"/>
      <c r="GS6" s="188"/>
      <c r="GT6" s="188"/>
      <c r="GU6" s="188"/>
      <c r="GV6" s="188"/>
      <c r="GW6" s="188"/>
      <c r="GX6" s="188"/>
      <c r="GY6" s="188"/>
      <c r="GZ6" s="188"/>
      <c r="HA6" s="188"/>
      <c r="HB6" s="188"/>
      <c r="HC6" s="188"/>
      <c r="HD6" s="188"/>
      <c r="HE6" s="188"/>
      <c r="HF6" s="188"/>
      <c r="HG6" s="188"/>
      <c r="HH6" s="188"/>
      <c r="HI6" s="188"/>
      <c r="HJ6" s="188"/>
      <c r="HK6" s="188"/>
      <c r="HL6" s="188"/>
      <c r="HM6" s="188"/>
      <c r="HN6" s="188"/>
      <c r="HO6" s="188"/>
      <c r="HP6" s="188"/>
      <c r="HQ6" s="188"/>
      <c r="HR6" s="188"/>
      <c r="HS6" s="188"/>
      <c r="HT6" s="188"/>
      <c r="HU6" s="188"/>
      <c r="HV6" s="188"/>
      <c r="HW6" s="188"/>
      <c r="HX6" s="188"/>
      <c r="HY6" s="188"/>
      <c r="HZ6" s="188"/>
      <c r="IA6" s="188"/>
      <c r="IB6" s="188"/>
      <c r="IC6" s="188"/>
      <c r="ID6" s="188"/>
      <c r="IE6" s="188"/>
      <c r="IF6" s="188"/>
      <c r="IG6" s="188"/>
      <c r="IH6" s="188"/>
      <c r="II6" s="188"/>
      <c r="IJ6" s="188"/>
      <c r="IK6" s="188"/>
      <c r="IL6" s="188"/>
      <c r="IM6" s="188"/>
    </row>
    <row r="7" spans="1:247" ht="15.75">
      <c r="A7" s="384" t="s">
        <v>195</v>
      </c>
      <c r="B7" s="384"/>
      <c r="C7" s="384"/>
      <c r="D7" s="384"/>
      <c r="E7" s="384"/>
      <c r="F7" s="384"/>
      <c r="G7" s="384"/>
      <c r="H7" s="384"/>
      <c r="I7" s="189"/>
      <c r="J7" s="182"/>
      <c r="K7" s="182"/>
      <c r="L7" s="182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0"/>
      <c r="BK7" s="190"/>
      <c r="BL7" s="190"/>
      <c r="BM7" s="190"/>
      <c r="BN7" s="190"/>
      <c r="BO7" s="190"/>
      <c r="BP7" s="190"/>
      <c r="BQ7" s="190"/>
      <c r="BR7" s="190"/>
      <c r="BS7" s="190"/>
      <c r="BT7" s="190"/>
      <c r="BU7" s="190"/>
      <c r="BV7" s="190"/>
      <c r="BW7" s="190"/>
      <c r="BX7" s="190"/>
      <c r="BY7" s="190"/>
      <c r="BZ7" s="190"/>
      <c r="CA7" s="190"/>
      <c r="CB7" s="190"/>
      <c r="CC7" s="190"/>
      <c r="CD7" s="190"/>
      <c r="CE7" s="190"/>
      <c r="CF7" s="190"/>
      <c r="CG7" s="190"/>
      <c r="CH7" s="190"/>
      <c r="CI7" s="190"/>
      <c r="CJ7" s="190"/>
      <c r="CK7" s="190"/>
      <c r="CL7" s="190"/>
      <c r="CM7" s="190"/>
      <c r="CN7" s="190"/>
      <c r="CO7" s="190"/>
      <c r="CP7" s="190"/>
      <c r="CQ7" s="190"/>
      <c r="CR7" s="190"/>
      <c r="CS7" s="190"/>
      <c r="CT7" s="190"/>
      <c r="CU7" s="190"/>
      <c r="CV7" s="190"/>
      <c r="CW7" s="190"/>
      <c r="CX7" s="190"/>
      <c r="CY7" s="190"/>
      <c r="CZ7" s="190"/>
      <c r="DA7" s="190"/>
      <c r="DB7" s="190"/>
      <c r="DC7" s="190"/>
      <c r="DD7" s="190"/>
      <c r="DE7" s="190"/>
      <c r="DF7" s="190"/>
      <c r="DG7" s="190"/>
      <c r="DH7" s="190"/>
      <c r="DI7" s="190"/>
      <c r="DJ7" s="190"/>
      <c r="DK7" s="190"/>
      <c r="DL7" s="190"/>
      <c r="DM7" s="190"/>
      <c r="DN7" s="190"/>
      <c r="DO7" s="190"/>
      <c r="DP7" s="190"/>
      <c r="DQ7" s="190"/>
      <c r="DR7" s="190"/>
      <c r="DS7" s="190"/>
      <c r="DT7" s="190"/>
      <c r="DU7" s="190"/>
      <c r="DV7" s="190"/>
      <c r="DW7" s="190"/>
      <c r="DX7" s="190"/>
      <c r="DY7" s="190"/>
      <c r="DZ7" s="190"/>
      <c r="EA7" s="190"/>
      <c r="EB7" s="190"/>
      <c r="EC7" s="190"/>
      <c r="ED7" s="190"/>
      <c r="EE7" s="190"/>
      <c r="EF7" s="190"/>
      <c r="EG7" s="190"/>
      <c r="EH7" s="190"/>
      <c r="EI7" s="190"/>
      <c r="EJ7" s="190"/>
      <c r="EK7" s="190"/>
      <c r="EL7" s="190"/>
      <c r="EM7" s="190"/>
      <c r="EN7" s="190"/>
      <c r="EO7" s="190"/>
      <c r="EP7" s="190"/>
      <c r="EQ7" s="190"/>
      <c r="ER7" s="190"/>
      <c r="ES7" s="190"/>
      <c r="ET7" s="190"/>
      <c r="EU7" s="190"/>
      <c r="EV7" s="190"/>
      <c r="EW7" s="190"/>
      <c r="EX7" s="190"/>
      <c r="EY7" s="190"/>
      <c r="EZ7" s="190"/>
      <c r="FA7" s="190"/>
      <c r="FB7" s="190"/>
      <c r="FC7" s="190"/>
      <c r="FD7" s="190"/>
      <c r="FE7" s="190"/>
      <c r="FF7" s="190"/>
      <c r="FG7" s="190"/>
      <c r="FH7" s="190"/>
      <c r="FI7" s="190"/>
      <c r="FJ7" s="190"/>
      <c r="FK7" s="190"/>
      <c r="FL7" s="190"/>
      <c r="FM7" s="190"/>
      <c r="FN7" s="190"/>
      <c r="FO7" s="190"/>
      <c r="FP7" s="190"/>
      <c r="FQ7" s="190"/>
      <c r="FR7" s="190"/>
      <c r="FS7" s="190"/>
      <c r="FT7" s="190"/>
      <c r="FU7" s="190"/>
      <c r="FV7" s="190"/>
      <c r="FW7" s="190"/>
      <c r="FX7" s="190"/>
      <c r="FY7" s="190"/>
      <c r="FZ7" s="190"/>
      <c r="GA7" s="190"/>
      <c r="GB7" s="190"/>
      <c r="GC7" s="190"/>
      <c r="GD7" s="190"/>
      <c r="GE7" s="190"/>
      <c r="GF7" s="190"/>
      <c r="GG7" s="190"/>
      <c r="GH7" s="190"/>
      <c r="GI7" s="190"/>
      <c r="GJ7" s="190"/>
      <c r="GK7" s="190"/>
      <c r="GL7" s="190"/>
      <c r="GM7" s="190"/>
      <c r="GN7" s="190"/>
      <c r="GO7" s="190"/>
      <c r="GP7" s="190"/>
      <c r="GQ7" s="190"/>
      <c r="GR7" s="190"/>
      <c r="GS7" s="190"/>
      <c r="GT7" s="190"/>
      <c r="GU7" s="190"/>
      <c r="GV7" s="190"/>
      <c r="GW7" s="190"/>
      <c r="GX7" s="190"/>
      <c r="GY7" s="190"/>
      <c r="GZ7" s="190"/>
      <c r="HA7" s="190"/>
      <c r="HB7" s="190"/>
      <c r="HC7" s="190"/>
      <c r="HD7" s="190"/>
      <c r="HE7" s="190"/>
      <c r="HF7" s="190"/>
      <c r="HG7" s="190"/>
      <c r="HH7" s="190"/>
      <c r="HI7" s="190"/>
      <c r="HJ7" s="190"/>
      <c r="HK7" s="190"/>
      <c r="HL7" s="190"/>
      <c r="HM7" s="190"/>
      <c r="HN7" s="190"/>
      <c r="HO7" s="190"/>
      <c r="HP7" s="190"/>
      <c r="HQ7" s="190"/>
      <c r="HR7" s="190"/>
      <c r="HS7" s="190"/>
      <c r="HT7" s="190"/>
      <c r="HU7" s="190"/>
      <c r="HV7" s="190"/>
      <c r="HW7" s="190"/>
      <c r="HX7" s="190"/>
      <c r="HY7" s="190"/>
      <c r="HZ7" s="190"/>
      <c r="IA7" s="190"/>
      <c r="IB7" s="190"/>
      <c r="IC7" s="190"/>
      <c r="ID7" s="190"/>
      <c r="IE7" s="190"/>
      <c r="IF7" s="190"/>
      <c r="IG7" s="190"/>
      <c r="IH7" s="190"/>
      <c r="II7" s="190"/>
      <c r="IJ7" s="190"/>
      <c r="IK7" s="190"/>
      <c r="IL7" s="190"/>
      <c r="IM7" s="190"/>
    </row>
    <row r="8" spans="1:247" ht="15.75">
      <c r="A8" s="182"/>
      <c r="B8" s="182"/>
      <c r="C8" s="182"/>
      <c r="D8" s="182"/>
      <c r="E8" s="182"/>
      <c r="F8" s="182"/>
      <c r="G8" s="182"/>
      <c r="J8" s="182"/>
      <c r="K8" s="182"/>
      <c r="L8" s="182"/>
    </row>
    <row r="9" spans="1:247" ht="15.75" customHeight="1">
      <c r="A9" s="380" t="s">
        <v>196</v>
      </c>
      <c r="B9" s="380"/>
      <c r="C9" s="380"/>
      <c r="D9" s="380"/>
      <c r="E9" s="380"/>
      <c r="F9" s="380"/>
      <c r="G9" s="380"/>
      <c r="H9" s="380"/>
      <c r="I9" s="380"/>
      <c r="J9" s="380"/>
      <c r="K9" s="380"/>
      <c r="L9" s="191"/>
    </row>
    <row r="10" spans="1:247" ht="15.75" customHeight="1">
      <c r="A10" s="380" t="s">
        <v>197</v>
      </c>
      <c r="B10" s="380"/>
      <c r="C10" s="380"/>
      <c r="D10" s="380"/>
      <c r="E10" s="380"/>
      <c r="F10" s="380"/>
      <c r="G10" s="380"/>
      <c r="H10" s="380"/>
      <c r="I10" s="380"/>
      <c r="J10" s="380"/>
      <c r="K10" s="380"/>
      <c r="L10" s="191"/>
    </row>
    <row r="11" spans="1:247" ht="15" customHeight="1">
      <c r="A11" s="385"/>
      <c r="B11" s="385"/>
      <c r="C11" s="385"/>
      <c r="D11" s="385"/>
      <c r="E11" s="385"/>
      <c r="F11" s="385"/>
      <c r="G11" s="385"/>
      <c r="H11" s="385"/>
      <c r="I11" s="192"/>
      <c r="J11" s="182"/>
      <c r="K11" s="182"/>
      <c r="L11" s="182"/>
    </row>
    <row r="12" spans="1:247" ht="16.5" customHeight="1">
      <c r="A12" s="386" t="s">
        <v>198</v>
      </c>
      <c r="B12" s="387"/>
      <c r="C12" s="387"/>
      <c r="D12" s="387"/>
      <c r="E12" s="387"/>
      <c r="F12" s="387"/>
      <c r="G12" s="387"/>
      <c r="H12" s="387"/>
      <c r="I12" s="387"/>
      <c r="J12" s="387"/>
      <c r="K12" s="388"/>
      <c r="L12" s="193"/>
    </row>
    <row r="13" spans="1:247" ht="21" customHeight="1">
      <c r="A13" s="389" t="s">
        <v>199</v>
      </c>
      <c r="B13" s="389"/>
      <c r="C13" s="389"/>
      <c r="D13" s="389"/>
      <c r="E13" s="389"/>
      <c r="F13" s="389"/>
      <c r="G13" s="389" t="s">
        <v>200</v>
      </c>
      <c r="H13" s="389"/>
      <c r="I13" s="389"/>
      <c r="J13" s="389"/>
      <c r="K13" s="389"/>
      <c r="L13" s="194"/>
    </row>
    <row r="14" spans="1:247" ht="50.25" customHeight="1">
      <c r="A14" s="390" t="s">
        <v>201</v>
      </c>
      <c r="B14" s="390"/>
      <c r="C14" s="390"/>
      <c r="D14" s="390"/>
      <c r="E14" s="195"/>
      <c r="F14" s="390" t="s">
        <v>202</v>
      </c>
      <c r="G14" s="390"/>
      <c r="H14" s="390"/>
      <c r="I14" s="390"/>
      <c r="J14" s="390"/>
      <c r="K14" s="390"/>
      <c r="L14" s="390"/>
    </row>
    <row r="15" spans="1:247" ht="44.25" customHeight="1">
      <c r="A15" s="393" t="s">
        <v>203</v>
      </c>
      <c r="B15" s="393"/>
      <c r="C15" s="393"/>
      <c r="D15" s="393"/>
      <c r="E15" s="393"/>
      <c r="F15" s="393"/>
      <c r="G15" s="196"/>
      <c r="J15" s="182"/>
      <c r="K15" s="182"/>
      <c r="L15" s="182"/>
    </row>
    <row r="16" spans="1:247" ht="81" customHeight="1">
      <c r="A16" s="394" t="s">
        <v>204</v>
      </c>
      <c r="B16" s="394"/>
      <c r="C16" s="394"/>
      <c r="D16" s="394"/>
      <c r="E16" s="394"/>
      <c r="F16" s="394"/>
      <c r="G16" s="394"/>
      <c r="H16" s="394"/>
      <c r="I16" s="394"/>
      <c r="J16" s="394"/>
      <c r="K16" s="394"/>
      <c r="L16" s="197"/>
    </row>
    <row r="17" spans="1:256" ht="2.25" customHeight="1">
      <c r="A17" s="395"/>
      <c r="B17" s="395"/>
      <c r="C17" s="395"/>
      <c r="D17" s="395"/>
      <c r="E17" s="395"/>
      <c r="F17" s="395"/>
      <c r="G17" s="183"/>
      <c r="H17" s="394"/>
      <c r="I17" s="394"/>
      <c r="J17" s="394"/>
      <c r="K17" s="394"/>
      <c r="L17" s="394"/>
    </row>
    <row r="18" spans="1:256" s="201" customFormat="1" ht="45">
      <c r="A18" s="198" t="s">
        <v>205</v>
      </c>
      <c r="B18" s="199" t="s">
        <v>206</v>
      </c>
      <c r="C18" s="396" t="s">
        <v>207</v>
      </c>
      <c r="D18" s="397"/>
      <c r="E18" s="200" t="s">
        <v>208</v>
      </c>
      <c r="F18" s="200" t="s">
        <v>209</v>
      </c>
      <c r="G18" s="200" t="s">
        <v>210</v>
      </c>
      <c r="H18" s="200" t="s">
        <v>211</v>
      </c>
      <c r="I18" s="200" t="s">
        <v>212</v>
      </c>
      <c r="J18" s="200" t="s">
        <v>213</v>
      </c>
      <c r="K18" s="200" t="s">
        <v>214</v>
      </c>
      <c r="L18" s="200"/>
    </row>
    <row r="19" spans="1:256" s="206" customFormat="1" ht="25.5" customHeight="1">
      <c r="A19" s="398">
        <v>1</v>
      </c>
      <c r="B19" s="202">
        <v>1</v>
      </c>
      <c r="C19" s="401" t="str">
        <f>[4]Resumo!A5</f>
        <v>Supervisor Geral - 44 h de 2ª  a 6ª feira</v>
      </c>
      <c r="D19" s="402"/>
      <c r="E19" s="203">
        <v>1</v>
      </c>
      <c r="F19" s="203">
        <v>1</v>
      </c>
      <c r="G19" s="203">
        <v>1</v>
      </c>
      <c r="H19" s="204">
        <v>8826</v>
      </c>
      <c r="I19" s="204">
        <f>H19*E19</f>
        <v>8826</v>
      </c>
      <c r="J19" s="204">
        <f t="shared" ref="J19:J26" si="0">H19*G19</f>
        <v>8826</v>
      </c>
      <c r="K19" s="204">
        <f t="shared" ref="K19:K26" si="1">J19*12</f>
        <v>105912</v>
      </c>
      <c r="L19" s="204">
        <f t="shared" ref="L19:L26" si="2">K19/E19</f>
        <v>105912</v>
      </c>
      <c r="M19" s="205">
        <f>K19</f>
        <v>105912</v>
      </c>
    </row>
    <row r="20" spans="1:256" s="206" customFormat="1" ht="25.5" customHeight="1">
      <c r="A20" s="399"/>
      <c r="B20" s="202">
        <v>2</v>
      </c>
      <c r="C20" s="401" t="str">
        <f>[4]Resumo!A6</f>
        <v>Serviço de Vigilância Desarmada 44h de 2º a 6 feira</v>
      </c>
      <c r="D20" s="402"/>
      <c r="E20" s="203">
        <v>1</v>
      </c>
      <c r="F20" s="203">
        <v>15</v>
      </c>
      <c r="G20" s="203">
        <v>15</v>
      </c>
      <c r="H20" s="204">
        <v>7795</v>
      </c>
      <c r="I20" s="204">
        <f>H20*E20</f>
        <v>7795</v>
      </c>
      <c r="J20" s="204">
        <f t="shared" si="0"/>
        <v>116925</v>
      </c>
      <c r="K20" s="204">
        <f t="shared" si="1"/>
        <v>1403100</v>
      </c>
      <c r="L20" s="204">
        <f t="shared" si="2"/>
        <v>1403100</v>
      </c>
      <c r="M20" s="207">
        <f>K20/F20</f>
        <v>93540</v>
      </c>
    </row>
    <row r="21" spans="1:256" s="206" customFormat="1" ht="25.5" customHeight="1">
      <c r="A21" s="399"/>
      <c r="B21" s="202">
        <v>3</v>
      </c>
      <c r="C21" s="401" t="str">
        <f>[4]Resumo!A7</f>
        <v>Serviço de Vigilância Desarmada - Diurna 12 x36 hs</v>
      </c>
      <c r="D21" s="402"/>
      <c r="E21" s="203">
        <v>2</v>
      </c>
      <c r="F21" s="203">
        <v>23</v>
      </c>
      <c r="G21" s="203">
        <v>46</v>
      </c>
      <c r="H21" s="204">
        <v>7215</v>
      </c>
      <c r="I21" s="204">
        <f t="shared" ref="I21:I26" si="3">H21*E21</f>
        <v>14430</v>
      </c>
      <c r="J21" s="204">
        <f t="shared" si="0"/>
        <v>331890</v>
      </c>
      <c r="K21" s="204">
        <f t="shared" si="1"/>
        <v>3982680</v>
      </c>
      <c r="L21" s="204">
        <f t="shared" si="2"/>
        <v>1991340</v>
      </c>
      <c r="M21" s="207">
        <f>K21/F21</f>
        <v>173160</v>
      </c>
    </row>
    <row r="22" spans="1:256" s="206" customFormat="1" ht="25.5" customHeight="1">
      <c r="A22" s="399"/>
      <c r="B22" s="202">
        <v>4</v>
      </c>
      <c r="C22" s="401" t="str">
        <f>[4]Resumo!A8</f>
        <v>Vigilância Desarmada 12x36 Diurno - Chefe de turno</v>
      </c>
      <c r="D22" s="402"/>
      <c r="E22" s="203">
        <v>2</v>
      </c>
      <c r="F22" s="203">
        <v>1</v>
      </c>
      <c r="G22" s="203">
        <v>2</v>
      </c>
      <c r="H22" s="204">
        <v>8453</v>
      </c>
      <c r="I22" s="204">
        <f t="shared" si="3"/>
        <v>16906</v>
      </c>
      <c r="J22" s="204">
        <f t="shared" si="0"/>
        <v>16906</v>
      </c>
      <c r="K22" s="204">
        <f t="shared" si="1"/>
        <v>202872</v>
      </c>
      <c r="L22" s="204">
        <f t="shared" si="2"/>
        <v>101436</v>
      </c>
      <c r="M22" s="205">
        <f>K22</f>
        <v>202872</v>
      </c>
    </row>
    <row r="23" spans="1:256" s="206" customFormat="1" ht="25.5" customHeight="1">
      <c r="A23" s="399"/>
      <c r="B23" s="202">
        <v>5</v>
      </c>
      <c r="C23" s="401" t="str">
        <f>[4]Resumo!A9</f>
        <v>Serviço de Vigilância Desarmada - Noturna 12 x36 hs</v>
      </c>
      <c r="D23" s="402"/>
      <c r="E23" s="203">
        <v>2</v>
      </c>
      <c r="F23" s="203">
        <v>9</v>
      </c>
      <c r="G23" s="203">
        <v>18</v>
      </c>
      <c r="H23" s="204">
        <v>7915</v>
      </c>
      <c r="I23" s="204">
        <f t="shared" si="3"/>
        <v>15830</v>
      </c>
      <c r="J23" s="204">
        <f t="shared" si="0"/>
        <v>142470</v>
      </c>
      <c r="K23" s="204">
        <f t="shared" si="1"/>
        <v>1709640</v>
      </c>
      <c r="L23" s="204">
        <f t="shared" si="2"/>
        <v>854820</v>
      </c>
      <c r="M23" s="207">
        <f>K23/F23</f>
        <v>189960</v>
      </c>
    </row>
    <row r="24" spans="1:256" s="206" customFormat="1" ht="25.5" customHeight="1">
      <c r="A24" s="399"/>
      <c r="B24" s="202">
        <v>6</v>
      </c>
      <c r="C24" s="401" t="str">
        <f>[4]Resumo!A10</f>
        <v>Vigilância Desarmada 12x36 Noturno - Chefe de Turno</v>
      </c>
      <c r="D24" s="402"/>
      <c r="E24" s="203">
        <v>2</v>
      </c>
      <c r="F24" s="203">
        <v>1</v>
      </c>
      <c r="G24" s="203">
        <v>2</v>
      </c>
      <c r="H24" s="204">
        <v>9292</v>
      </c>
      <c r="I24" s="204">
        <f t="shared" si="3"/>
        <v>18584</v>
      </c>
      <c r="J24" s="204">
        <f t="shared" si="0"/>
        <v>18584</v>
      </c>
      <c r="K24" s="204">
        <f t="shared" si="1"/>
        <v>223008</v>
      </c>
      <c r="L24" s="204">
        <f t="shared" si="2"/>
        <v>111504</v>
      </c>
      <c r="M24" s="205">
        <f>K24</f>
        <v>223008</v>
      </c>
    </row>
    <row r="25" spans="1:256" s="206" customFormat="1" ht="25.5" customHeight="1">
      <c r="A25" s="399"/>
      <c r="B25" s="202">
        <v>7</v>
      </c>
      <c r="C25" s="401" t="str">
        <f>[4]Resumo!A11</f>
        <v>Serviço de Vigilância Armada - Diurna 12 x36 hs</v>
      </c>
      <c r="D25" s="402"/>
      <c r="E25" s="203">
        <v>2</v>
      </c>
      <c r="F25" s="203">
        <v>18</v>
      </c>
      <c r="G25" s="203">
        <v>36</v>
      </c>
      <c r="H25" s="204">
        <v>7354</v>
      </c>
      <c r="I25" s="204">
        <f t="shared" si="3"/>
        <v>14708</v>
      </c>
      <c r="J25" s="204">
        <f t="shared" si="0"/>
        <v>264744</v>
      </c>
      <c r="K25" s="204">
        <f t="shared" si="1"/>
        <v>3176928</v>
      </c>
      <c r="L25" s="204">
        <f t="shared" si="2"/>
        <v>1588464</v>
      </c>
      <c r="M25" s="207">
        <f>K25/F25</f>
        <v>176496</v>
      </c>
    </row>
    <row r="26" spans="1:256" s="206" customFormat="1" ht="25.5" customHeight="1">
      <c r="A26" s="400"/>
      <c r="B26" s="202">
        <v>8</v>
      </c>
      <c r="C26" s="401" t="str">
        <f>[4]Resumo!A12</f>
        <v>Serviço de Vigilância Armada - Noturna 12 x36 hs</v>
      </c>
      <c r="D26" s="402"/>
      <c r="E26" s="203">
        <v>2</v>
      </c>
      <c r="F26" s="203">
        <v>11</v>
      </c>
      <c r="G26" s="203">
        <v>22</v>
      </c>
      <c r="H26" s="204">
        <v>8055</v>
      </c>
      <c r="I26" s="204">
        <f t="shared" si="3"/>
        <v>16110</v>
      </c>
      <c r="J26" s="204">
        <f t="shared" si="0"/>
        <v>177210</v>
      </c>
      <c r="K26" s="204">
        <f t="shared" si="1"/>
        <v>2126520</v>
      </c>
      <c r="L26" s="204">
        <f t="shared" si="2"/>
        <v>1063260</v>
      </c>
      <c r="M26" s="207">
        <f>K26/F26</f>
        <v>193320</v>
      </c>
    </row>
    <row r="27" spans="1:256" s="201" customFormat="1" ht="15.75" customHeight="1">
      <c r="A27" s="403" t="s">
        <v>215</v>
      </c>
      <c r="B27" s="404"/>
      <c r="C27" s="404"/>
      <c r="D27" s="404"/>
      <c r="E27" s="208"/>
      <c r="F27" s="209">
        <f>SUM(F19:F26)</f>
        <v>79</v>
      </c>
      <c r="G27" s="210">
        <f>SUM(G19:G26)</f>
        <v>142</v>
      </c>
      <c r="H27" s="211"/>
      <c r="I27" s="211"/>
      <c r="J27" s="211">
        <f>SUM(J19:J26)</f>
        <v>1077555</v>
      </c>
      <c r="K27" s="211">
        <f>SUM(K19:K26)</f>
        <v>12930660</v>
      </c>
      <c r="L27" s="212"/>
    </row>
    <row r="28" spans="1:256" s="201" customFormat="1" ht="15" customHeight="1">
      <c r="A28" s="391"/>
      <c r="B28" s="392"/>
      <c r="C28" s="392"/>
      <c r="D28" s="392"/>
      <c r="E28" s="392"/>
      <c r="F28" s="392"/>
      <c r="G28" s="392"/>
      <c r="H28" s="392"/>
      <c r="I28" s="392"/>
      <c r="J28" s="392"/>
      <c r="K28" s="392"/>
      <c r="L28" s="213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  <c r="BI28" s="214"/>
      <c r="BJ28" s="214"/>
      <c r="BK28" s="214"/>
      <c r="BL28" s="214"/>
      <c r="BM28" s="214"/>
      <c r="BN28" s="214"/>
      <c r="BO28" s="214"/>
      <c r="BP28" s="214"/>
      <c r="BQ28" s="214"/>
      <c r="BR28" s="214"/>
      <c r="BS28" s="214"/>
      <c r="BT28" s="214"/>
      <c r="BU28" s="214"/>
      <c r="BV28" s="214"/>
      <c r="BW28" s="214"/>
      <c r="BX28" s="214"/>
      <c r="BY28" s="214"/>
      <c r="BZ28" s="214"/>
      <c r="CA28" s="214"/>
      <c r="CB28" s="214"/>
      <c r="CC28" s="214"/>
      <c r="CD28" s="214"/>
      <c r="CE28" s="214"/>
      <c r="CF28" s="214"/>
      <c r="CG28" s="214"/>
      <c r="CH28" s="214"/>
      <c r="CI28" s="214"/>
      <c r="CJ28" s="214"/>
      <c r="CK28" s="214"/>
      <c r="CL28" s="214"/>
      <c r="CM28" s="214"/>
      <c r="CN28" s="214"/>
      <c r="CO28" s="214"/>
      <c r="CP28" s="214"/>
      <c r="CQ28" s="214"/>
      <c r="CR28" s="214"/>
      <c r="CS28" s="214"/>
      <c r="CT28" s="214"/>
      <c r="CU28" s="214"/>
      <c r="CV28" s="214"/>
      <c r="CW28" s="214"/>
      <c r="CX28" s="214"/>
      <c r="CY28" s="214"/>
      <c r="CZ28" s="214"/>
      <c r="DA28" s="214"/>
      <c r="DB28" s="214"/>
      <c r="DC28" s="214"/>
      <c r="DD28" s="214"/>
      <c r="DE28" s="214"/>
      <c r="DF28" s="214"/>
      <c r="DG28" s="214"/>
      <c r="DH28" s="214"/>
      <c r="DI28" s="214"/>
      <c r="DJ28" s="214"/>
      <c r="DK28" s="214"/>
      <c r="DL28" s="214"/>
      <c r="DM28" s="214"/>
      <c r="DN28" s="214"/>
      <c r="DO28" s="214"/>
      <c r="DP28" s="214"/>
      <c r="DQ28" s="214"/>
      <c r="DR28" s="214"/>
      <c r="DS28" s="214"/>
      <c r="DT28" s="214"/>
      <c r="DU28" s="214"/>
      <c r="DV28" s="214"/>
      <c r="DW28" s="214"/>
      <c r="DX28" s="214"/>
      <c r="DY28" s="214"/>
      <c r="DZ28" s="214"/>
      <c r="EA28" s="214"/>
      <c r="EB28" s="214"/>
      <c r="EC28" s="214"/>
      <c r="ED28" s="214"/>
      <c r="EE28" s="214"/>
      <c r="EF28" s="214"/>
      <c r="EG28" s="214"/>
      <c r="EH28" s="214"/>
      <c r="EI28" s="214"/>
      <c r="EJ28" s="214"/>
      <c r="EK28" s="214"/>
      <c r="EL28" s="214"/>
      <c r="EM28" s="214"/>
      <c r="EN28" s="214"/>
      <c r="EO28" s="214"/>
      <c r="EP28" s="214"/>
      <c r="EQ28" s="214"/>
      <c r="ER28" s="214"/>
      <c r="ES28" s="214"/>
      <c r="ET28" s="214"/>
      <c r="EU28" s="214"/>
      <c r="EV28" s="214"/>
      <c r="EW28" s="214"/>
      <c r="EX28" s="214"/>
      <c r="EY28" s="214"/>
      <c r="EZ28" s="214"/>
      <c r="FA28" s="214"/>
      <c r="FB28" s="214"/>
      <c r="FC28" s="214"/>
      <c r="FD28" s="214"/>
      <c r="FE28" s="214"/>
      <c r="FF28" s="214"/>
      <c r="FG28" s="214"/>
      <c r="FH28" s="214"/>
      <c r="FI28" s="214"/>
      <c r="FJ28" s="214"/>
      <c r="FK28" s="214"/>
      <c r="FL28" s="214"/>
      <c r="FM28" s="214"/>
      <c r="FN28" s="214"/>
      <c r="FO28" s="214"/>
      <c r="FP28" s="214"/>
      <c r="FQ28" s="214"/>
      <c r="FR28" s="214"/>
      <c r="FS28" s="214"/>
      <c r="FT28" s="214"/>
      <c r="FU28" s="214"/>
      <c r="FV28" s="214"/>
      <c r="FW28" s="214"/>
      <c r="FX28" s="214"/>
      <c r="FY28" s="214"/>
      <c r="FZ28" s="214"/>
      <c r="GA28" s="214"/>
      <c r="GB28" s="214"/>
      <c r="GC28" s="214"/>
      <c r="GD28" s="214"/>
      <c r="GE28" s="214"/>
      <c r="GF28" s="214"/>
      <c r="GG28" s="214"/>
      <c r="GH28" s="214"/>
      <c r="GI28" s="214"/>
      <c r="GJ28" s="214"/>
      <c r="GK28" s="214"/>
      <c r="GL28" s="214"/>
      <c r="GM28" s="214"/>
      <c r="GN28" s="214"/>
      <c r="GO28" s="214"/>
      <c r="GP28" s="214"/>
      <c r="GQ28" s="214"/>
      <c r="GR28" s="214"/>
      <c r="GS28" s="214"/>
      <c r="GT28" s="214"/>
      <c r="GU28" s="214"/>
      <c r="GV28" s="214"/>
      <c r="GW28" s="214"/>
      <c r="GX28" s="214"/>
      <c r="GY28" s="214"/>
      <c r="GZ28" s="214"/>
      <c r="HA28" s="214"/>
      <c r="HB28" s="214"/>
      <c r="HC28" s="214"/>
      <c r="HD28" s="214"/>
      <c r="HE28" s="214"/>
      <c r="HF28" s="214"/>
      <c r="HG28" s="214"/>
      <c r="HH28" s="214"/>
      <c r="HI28" s="214"/>
      <c r="HJ28" s="214"/>
      <c r="HK28" s="214"/>
      <c r="HL28" s="214"/>
      <c r="HM28" s="214"/>
      <c r="HN28" s="214"/>
      <c r="HO28" s="214"/>
      <c r="HP28" s="214"/>
      <c r="HQ28" s="214"/>
      <c r="HR28" s="214"/>
      <c r="HS28" s="214"/>
      <c r="HT28" s="214"/>
      <c r="HU28" s="214"/>
      <c r="HV28" s="214"/>
      <c r="HW28" s="214"/>
      <c r="HX28" s="214"/>
      <c r="HY28" s="214"/>
      <c r="HZ28" s="214"/>
      <c r="IA28" s="214"/>
      <c r="IB28" s="214"/>
      <c r="IC28" s="214"/>
      <c r="ID28" s="214"/>
      <c r="IE28" s="214"/>
      <c r="IF28" s="214"/>
      <c r="IG28" s="214"/>
      <c r="IH28" s="214"/>
      <c r="II28" s="214"/>
      <c r="IJ28" s="214"/>
      <c r="IK28" s="214"/>
      <c r="IL28" s="214"/>
      <c r="IM28" s="214"/>
      <c r="IN28" s="214"/>
      <c r="IO28" s="214"/>
      <c r="IP28" s="214"/>
      <c r="IQ28" s="214"/>
      <c r="IR28" s="214"/>
      <c r="IS28" s="214"/>
      <c r="IT28" s="214"/>
      <c r="IU28" s="214"/>
      <c r="IV28" s="214"/>
    </row>
    <row r="29" spans="1:256" s="206" customFormat="1" ht="25.5" customHeight="1">
      <c r="A29" s="215"/>
      <c r="B29" s="202">
        <v>9</v>
      </c>
      <c r="C29" s="401" t="s">
        <v>216</v>
      </c>
      <c r="D29" s="402"/>
      <c r="E29" s="203">
        <v>18</v>
      </c>
      <c r="F29" s="203">
        <v>12</v>
      </c>
      <c r="G29" s="204">
        <f>157.01*1.05</f>
        <v>164.8605</v>
      </c>
      <c r="H29" s="204">
        <f>G29*30%</f>
        <v>49.458149999999996</v>
      </c>
      <c r="I29" s="204">
        <f>G29+H29</f>
        <v>214.31864999999999</v>
      </c>
      <c r="J29" s="204">
        <f>I29*F29*E29</f>
        <v>46292.828399999999</v>
      </c>
      <c r="K29" s="204">
        <f>J29</f>
        <v>46292.828399999999</v>
      </c>
      <c r="L29" s="204">
        <f>K29/E29</f>
        <v>2571.8238000000001</v>
      </c>
      <c r="M29" s="207">
        <f>K29</f>
        <v>46292.828399999999</v>
      </c>
    </row>
    <row r="30" spans="1:256" s="201" customFormat="1" ht="18" customHeight="1">
      <c r="A30" s="406" t="s">
        <v>217</v>
      </c>
      <c r="B30" s="406"/>
      <c r="C30" s="406"/>
      <c r="D30" s="406"/>
      <c r="E30" s="406"/>
      <c r="F30" s="406"/>
      <c r="G30" s="406"/>
      <c r="H30" s="406"/>
      <c r="I30" s="406"/>
      <c r="J30" s="406"/>
      <c r="K30" s="216">
        <f>J27</f>
        <v>1077555</v>
      </c>
      <c r="L30" s="216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214"/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  <c r="BI30" s="214"/>
      <c r="BJ30" s="214"/>
      <c r="BK30" s="214"/>
      <c r="BL30" s="214"/>
      <c r="BM30" s="214"/>
      <c r="BN30" s="214"/>
      <c r="BO30" s="214"/>
      <c r="BP30" s="214"/>
      <c r="BQ30" s="214"/>
      <c r="BR30" s="214"/>
      <c r="BS30" s="214"/>
      <c r="BT30" s="214"/>
      <c r="BU30" s="214"/>
      <c r="BV30" s="214"/>
      <c r="BW30" s="214"/>
      <c r="BX30" s="214"/>
      <c r="BY30" s="214"/>
      <c r="BZ30" s="214"/>
      <c r="CA30" s="214"/>
      <c r="CB30" s="214"/>
      <c r="CC30" s="214"/>
      <c r="CD30" s="214"/>
      <c r="CE30" s="214"/>
      <c r="CF30" s="214"/>
      <c r="CG30" s="214"/>
      <c r="CH30" s="214"/>
      <c r="CI30" s="214"/>
      <c r="CJ30" s="214"/>
      <c r="CK30" s="214"/>
      <c r="CL30" s="214"/>
      <c r="CM30" s="214"/>
      <c r="CN30" s="214"/>
      <c r="CO30" s="214"/>
      <c r="CP30" s="214"/>
      <c r="CQ30" s="214"/>
      <c r="CR30" s="214"/>
      <c r="CS30" s="214"/>
      <c r="CT30" s="214"/>
      <c r="CU30" s="214"/>
      <c r="CV30" s="214"/>
      <c r="CW30" s="214"/>
      <c r="CX30" s="214"/>
      <c r="CY30" s="214"/>
      <c r="CZ30" s="214"/>
      <c r="DA30" s="214"/>
      <c r="DB30" s="214"/>
      <c r="DC30" s="214"/>
      <c r="DD30" s="214"/>
      <c r="DE30" s="214"/>
      <c r="DF30" s="214"/>
      <c r="DG30" s="214"/>
      <c r="DH30" s="214"/>
      <c r="DI30" s="214"/>
      <c r="DJ30" s="214"/>
      <c r="DK30" s="214"/>
      <c r="DL30" s="214"/>
      <c r="DM30" s="214"/>
      <c r="DN30" s="214"/>
      <c r="DO30" s="214"/>
      <c r="DP30" s="214"/>
      <c r="DQ30" s="214"/>
      <c r="DR30" s="214"/>
      <c r="DS30" s="214"/>
      <c r="DT30" s="214"/>
      <c r="DU30" s="214"/>
      <c r="DV30" s="214"/>
      <c r="DW30" s="214"/>
      <c r="DX30" s="214"/>
      <c r="DY30" s="214"/>
      <c r="DZ30" s="214"/>
      <c r="EA30" s="214"/>
      <c r="EB30" s="214"/>
      <c r="EC30" s="214"/>
      <c r="ED30" s="214"/>
      <c r="EE30" s="214"/>
      <c r="EF30" s="214"/>
      <c r="EG30" s="214"/>
      <c r="EH30" s="214"/>
      <c r="EI30" s="214"/>
      <c r="EJ30" s="214"/>
      <c r="EK30" s="214"/>
      <c r="EL30" s="214"/>
      <c r="EM30" s="214"/>
      <c r="EN30" s="214"/>
      <c r="EO30" s="214"/>
      <c r="EP30" s="214"/>
      <c r="EQ30" s="214"/>
      <c r="ER30" s="214"/>
      <c r="ES30" s="214"/>
      <c r="ET30" s="214"/>
      <c r="EU30" s="214"/>
      <c r="EV30" s="214"/>
      <c r="EW30" s="214"/>
      <c r="EX30" s="214"/>
      <c r="EY30" s="214"/>
      <c r="EZ30" s="214"/>
      <c r="FA30" s="214"/>
      <c r="FB30" s="214"/>
      <c r="FC30" s="214"/>
      <c r="FD30" s="214"/>
      <c r="FE30" s="214"/>
      <c r="FF30" s="214"/>
      <c r="FG30" s="214"/>
      <c r="FH30" s="214"/>
      <c r="FI30" s="214"/>
      <c r="FJ30" s="214"/>
      <c r="FK30" s="214"/>
      <c r="FL30" s="214"/>
      <c r="FM30" s="214"/>
      <c r="FN30" s="214"/>
      <c r="FO30" s="214"/>
      <c r="FP30" s="214"/>
      <c r="FQ30" s="214"/>
      <c r="FR30" s="214"/>
      <c r="FS30" s="214"/>
      <c r="FT30" s="214"/>
      <c r="FU30" s="214"/>
      <c r="FV30" s="214"/>
      <c r="FW30" s="214"/>
      <c r="FX30" s="214"/>
      <c r="FY30" s="214"/>
      <c r="FZ30" s="214"/>
      <c r="GA30" s="214"/>
      <c r="GB30" s="214"/>
      <c r="GC30" s="214"/>
      <c r="GD30" s="214"/>
      <c r="GE30" s="214"/>
      <c r="GF30" s="214"/>
      <c r="GG30" s="214"/>
      <c r="GH30" s="214"/>
      <c r="GI30" s="214"/>
      <c r="GJ30" s="214"/>
      <c r="GK30" s="214"/>
      <c r="GL30" s="214"/>
      <c r="GM30" s="214"/>
      <c r="GN30" s="214"/>
      <c r="GO30" s="214"/>
      <c r="GP30" s="214"/>
      <c r="GQ30" s="214"/>
      <c r="GR30" s="214"/>
      <c r="GS30" s="214"/>
      <c r="GT30" s="214"/>
      <c r="GU30" s="214"/>
      <c r="GV30" s="214"/>
      <c r="GW30" s="214"/>
      <c r="GX30" s="214"/>
      <c r="GY30" s="214"/>
      <c r="GZ30" s="214"/>
      <c r="HA30" s="214"/>
      <c r="HB30" s="214"/>
      <c r="HC30" s="214"/>
      <c r="HD30" s="214"/>
      <c r="HE30" s="214"/>
      <c r="HF30" s="214"/>
      <c r="HG30" s="214"/>
      <c r="HH30" s="214"/>
      <c r="HI30" s="214"/>
      <c r="HJ30" s="214"/>
      <c r="HK30" s="214"/>
      <c r="HL30" s="214"/>
      <c r="HM30" s="214"/>
      <c r="HN30" s="214"/>
      <c r="HO30" s="214"/>
      <c r="HP30" s="214"/>
      <c r="HQ30" s="214"/>
      <c r="HR30" s="214"/>
      <c r="HS30" s="214"/>
      <c r="HT30" s="214"/>
      <c r="HU30" s="214"/>
      <c r="HV30" s="214"/>
      <c r="HW30" s="214"/>
      <c r="HX30" s="214"/>
      <c r="HY30" s="214"/>
      <c r="HZ30" s="214"/>
      <c r="IA30" s="214"/>
      <c r="IB30" s="214"/>
      <c r="IC30" s="214"/>
      <c r="ID30" s="214"/>
      <c r="IE30" s="214"/>
      <c r="IF30" s="214"/>
      <c r="IG30" s="214"/>
      <c r="IH30" s="214"/>
      <c r="II30" s="214"/>
      <c r="IJ30" s="214"/>
      <c r="IK30" s="214"/>
      <c r="IL30" s="214"/>
      <c r="IM30" s="214"/>
      <c r="IN30" s="214"/>
      <c r="IO30" s="214"/>
      <c r="IP30" s="214"/>
      <c r="IQ30" s="214"/>
      <c r="IR30" s="214"/>
      <c r="IS30" s="214"/>
      <c r="IT30" s="214"/>
      <c r="IU30" s="214"/>
      <c r="IV30" s="214"/>
    </row>
    <row r="31" spans="1:256" s="201" customFormat="1" ht="15" customHeight="1">
      <c r="A31" s="407"/>
      <c r="B31" s="408"/>
      <c r="C31" s="408"/>
      <c r="D31" s="408"/>
      <c r="E31" s="408"/>
      <c r="F31" s="408"/>
      <c r="G31" s="408"/>
      <c r="H31" s="408"/>
      <c r="I31" s="408"/>
      <c r="J31" s="408"/>
      <c r="K31" s="408"/>
      <c r="L31" s="217"/>
    </row>
    <row r="32" spans="1:256" s="201" customFormat="1" ht="5.25" customHeight="1">
      <c r="A32" s="391"/>
      <c r="B32" s="392"/>
      <c r="C32" s="392"/>
      <c r="D32" s="392"/>
      <c r="E32" s="392"/>
      <c r="F32" s="392"/>
      <c r="G32" s="392"/>
      <c r="H32" s="392"/>
      <c r="I32" s="392"/>
      <c r="J32" s="392"/>
      <c r="K32" s="409"/>
      <c r="L32" s="213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  <c r="BI32" s="214"/>
      <c r="BJ32" s="214"/>
      <c r="BK32" s="214"/>
      <c r="BL32" s="214"/>
      <c r="BM32" s="214"/>
      <c r="BN32" s="214"/>
      <c r="BO32" s="214"/>
      <c r="BP32" s="214"/>
      <c r="BQ32" s="214"/>
      <c r="BR32" s="214"/>
      <c r="BS32" s="214"/>
      <c r="BT32" s="214"/>
      <c r="BU32" s="214"/>
      <c r="BV32" s="214"/>
      <c r="BW32" s="214"/>
      <c r="BX32" s="214"/>
      <c r="BY32" s="214"/>
      <c r="BZ32" s="214"/>
      <c r="CA32" s="214"/>
      <c r="CB32" s="214"/>
      <c r="CC32" s="214"/>
      <c r="CD32" s="214"/>
      <c r="CE32" s="214"/>
      <c r="CF32" s="214"/>
      <c r="CG32" s="214"/>
      <c r="CH32" s="214"/>
      <c r="CI32" s="214"/>
      <c r="CJ32" s="214"/>
      <c r="CK32" s="214"/>
      <c r="CL32" s="214"/>
      <c r="CM32" s="214"/>
      <c r="CN32" s="214"/>
      <c r="CO32" s="214"/>
      <c r="CP32" s="214"/>
      <c r="CQ32" s="214"/>
      <c r="CR32" s="214"/>
      <c r="CS32" s="214"/>
      <c r="CT32" s="214"/>
      <c r="CU32" s="214"/>
      <c r="CV32" s="214"/>
      <c r="CW32" s="214"/>
      <c r="CX32" s="214"/>
      <c r="CY32" s="214"/>
      <c r="CZ32" s="214"/>
      <c r="DA32" s="214"/>
      <c r="DB32" s="214"/>
      <c r="DC32" s="214"/>
      <c r="DD32" s="214"/>
      <c r="DE32" s="214"/>
      <c r="DF32" s="214"/>
      <c r="DG32" s="214"/>
      <c r="DH32" s="214"/>
      <c r="DI32" s="214"/>
      <c r="DJ32" s="214"/>
      <c r="DK32" s="214"/>
      <c r="DL32" s="214"/>
      <c r="DM32" s="214"/>
      <c r="DN32" s="214"/>
      <c r="DO32" s="214"/>
      <c r="DP32" s="214"/>
      <c r="DQ32" s="214"/>
      <c r="DR32" s="214"/>
      <c r="DS32" s="214"/>
      <c r="DT32" s="214"/>
      <c r="DU32" s="214"/>
      <c r="DV32" s="214"/>
      <c r="DW32" s="214"/>
      <c r="DX32" s="214"/>
      <c r="DY32" s="214"/>
      <c r="DZ32" s="214"/>
      <c r="EA32" s="214"/>
      <c r="EB32" s="214"/>
      <c r="EC32" s="214"/>
      <c r="ED32" s="214"/>
      <c r="EE32" s="214"/>
      <c r="EF32" s="214"/>
      <c r="EG32" s="214"/>
      <c r="EH32" s="214"/>
      <c r="EI32" s="214"/>
      <c r="EJ32" s="214"/>
      <c r="EK32" s="214"/>
      <c r="EL32" s="214"/>
      <c r="EM32" s="214"/>
      <c r="EN32" s="214"/>
      <c r="EO32" s="214"/>
      <c r="EP32" s="214"/>
      <c r="EQ32" s="214"/>
      <c r="ER32" s="214"/>
      <c r="ES32" s="214"/>
      <c r="ET32" s="214"/>
      <c r="EU32" s="214"/>
      <c r="EV32" s="214"/>
      <c r="EW32" s="214"/>
      <c r="EX32" s="214"/>
      <c r="EY32" s="214"/>
      <c r="EZ32" s="214"/>
      <c r="FA32" s="214"/>
      <c r="FB32" s="214"/>
      <c r="FC32" s="214"/>
      <c r="FD32" s="214"/>
      <c r="FE32" s="214"/>
      <c r="FF32" s="214"/>
      <c r="FG32" s="214"/>
      <c r="FH32" s="214"/>
      <c r="FI32" s="214"/>
      <c r="FJ32" s="214"/>
      <c r="FK32" s="214"/>
      <c r="FL32" s="214"/>
      <c r="FM32" s="214"/>
      <c r="FN32" s="214"/>
      <c r="FO32" s="214"/>
      <c r="FP32" s="214"/>
      <c r="FQ32" s="214"/>
      <c r="FR32" s="214"/>
      <c r="FS32" s="214"/>
      <c r="FT32" s="214"/>
      <c r="FU32" s="214"/>
      <c r="FV32" s="214"/>
      <c r="FW32" s="214"/>
      <c r="FX32" s="214"/>
      <c r="FY32" s="214"/>
      <c r="FZ32" s="214"/>
      <c r="GA32" s="214"/>
      <c r="GB32" s="214"/>
      <c r="GC32" s="214"/>
      <c r="GD32" s="214"/>
      <c r="GE32" s="214"/>
      <c r="GF32" s="214"/>
      <c r="GG32" s="214"/>
      <c r="GH32" s="214"/>
      <c r="GI32" s="214"/>
      <c r="GJ32" s="214"/>
      <c r="GK32" s="214"/>
      <c r="GL32" s="214"/>
      <c r="GM32" s="214"/>
      <c r="GN32" s="214"/>
      <c r="GO32" s="214"/>
      <c r="GP32" s="214"/>
      <c r="GQ32" s="214"/>
      <c r="GR32" s="214"/>
      <c r="GS32" s="214"/>
      <c r="GT32" s="214"/>
      <c r="GU32" s="214"/>
      <c r="GV32" s="214"/>
      <c r="GW32" s="214"/>
      <c r="GX32" s="214"/>
      <c r="GY32" s="214"/>
      <c r="GZ32" s="214"/>
      <c r="HA32" s="214"/>
      <c r="HB32" s="214"/>
      <c r="HC32" s="214"/>
      <c r="HD32" s="214"/>
      <c r="HE32" s="214"/>
      <c r="HF32" s="214"/>
      <c r="HG32" s="214"/>
      <c r="HH32" s="214"/>
      <c r="HI32" s="214"/>
      <c r="HJ32" s="214"/>
      <c r="HK32" s="214"/>
      <c r="HL32" s="214"/>
      <c r="HM32" s="214"/>
      <c r="HN32" s="214"/>
      <c r="HO32" s="214"/>
      <c r="HP32" s="214"/>
      <c r="HQ32" s="214"/>
      <c r="HR32" s="214"/>
      <c r="HS32" s="214"/>
      <c r="HT32" s="214"/>
      <c r="HU32" s="214"/>
      <c r="HV32" s="214"/>
      <c r="HW32" s="214"/>
      <c r="HX32" s="214"/>
      <c r="HY32" s="214"/>
      <c r="HZ32" s="214"/>
      <c r="IA32" s="214"/>
      <c r="IB32" s="214"/>
      <c r="IC32" s="214"/>
      <c r="ID32" s="214"/>
      <c r="IE32" s="214"/>
      <c r="IF32" s="214"/>
      <c r="IG32" s="214"/>
      <c r="IH32" s="214"/>
      <c r="II32" s="214"/>
      <c r="IJ32" s="214"/>
      <c r="IK32" s="214"/>
      <c r="IL32" s="214"/>
      <c r="IM32" s="214"/>
      <c r="IN32" s="214"/>
      <c r="IO32" s="214"/>
      <c r="IP32" s="214"/>
      <c r="IQ32" s="214"/>
      <c r="IR32" s="214"/>
      <c r="IS32" s="214"/>
      <c r="IT32" s="214"/>
      <c r="IU32" s="214"/>
      <c r="IV32" s="214"/>
    </row>
    <row r="33" spans="1:256" s="201" customFormat="1" ht="19.5" customHeight="1">
      <c r="A33" s="410" t="s">
        <v>218</v>
      </c>
      <c r="B33" s="410"/>
      <c r="C33" s="410"/>
      <c r="D33" s="410"/>
      <c r="E33" s="410"/>
      <c r="F33" s="410"/>
      <c r="G33" s="410"/>
      <c r="H33" s="410"/>
      <c r="I33" s="410"/>
      <c r="J33" s="410"/>
      <c r="K33" s="218">
        <v>12</v>
      </c>
      <c r="L33" s="218"/>
    </row>
    <row r="34" spans="1:256" s="201" customFormat="1" ht="5.25" customHeight="1">
      <c r="A34" s="391"/>
      <c r="B34" s="392"/>
      <c r="C34" s="392"/>
      <c r="D34" s="392"/>
      <c r="E34" s="392"/>
      <c r="F34" s="392"/>
      <c r="G34" s="392"/>
      <c r="H34" s="392"/>
      <c r="I34" s="392"/>
      <c r="J34" s="392"/>
      <c r="K34" s="409"/>
      <c r="L34" s="219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  <c r="BI34" s="214"/>
      <c r="BJ34" s="214"/>
      <c r="BK34" s="214"/>
      <c r="BL34" s="214"/>
      <c r="BM34" s="214"/>
      <c r="BN34" s="214"/>
      <c r="BO34" s="214"/>
      <c r="BP34" s="214"/>
      <c r="BQ34" s="214"/>
      <c r="BR34" s="214"/>
      <c r="BS34" s="214"/>
      <c r="BT34" s="214"/>
      <c r="BU34" s="214"/>
      <c r="BV34" s="214"/>
      <c r="BW34" s="214"/>
      <c r="BX34" s="214"/>
      <c r="BY34" s="214"/>
      <c r="BZ34" s="214"/>
      <c r="CA34" s="214"/>
      <c r="CB34" s="214"/>
      <c r="CC34" s="214"/>
      <c r="CD34" s="214"/>
      <c r="CE34" s="214"/>
      <c r="CF34" s="214"/>
      <c r="CG34" s="214"/>
      <c r="CH34" s="214"/>
      <c r="CI34" s="214"/>
      <c r="CJ34" s="214"/>
      <c r="CK34" s="214"/>
      <c r="CL34" s="214"/>
      <c r="CM34" s="214"/>
      <c r="CN34" s="214"/>
      <c r="CO34" s="214"/>
      <c r="CP34" s="214"/>
      <c r="CQ34" s="214"/>
      <c r="CR34" s="214"/>
      <c r="CS34" s="214"/>
      <c r="CT34" s="214"/>
      <c r="CU34" s="214"/>
      <c r="CV34" s="214"/>
      <c r="CW34" s="214"/>
      <c r="CX34" s="214"/>
      <c r="CY34" s="214"/>
      <c r="CZ34" s="214"/>
      <c r="DA34" s="214"/>
      <c r="DB34" s="214"/>
      <c r="DC34" s="214"/>
      <c r="DD34" s="214"/>
      <c r="DE34" s="214"/>
      <c r="DF34" s="214"/>
      <c r="DG34" s="214"/>
      <c r="DH34" s="214"/>
      <c r="DI34" s="214"/>
      <c r="DJ34" s="214"/>
      <c r="DK34" s="214"/>
      <c r="DL34" s="214"/>
      <c r="DM34" s="214"/>
      <c r="DN34" s="214"/>
      <c r="DO34" s="214"/>
      <c r="DP34" s="214"/>
      <c r="DQ34" s="214"/>
      <c r="DR34" s="214"/>
      <c r="DS34" s="214"/>
      <c r="DT34" s="214"/>
      <c r="DU34" s="214"/>
      <c r="DV34" s="214"/>
      <c r="DW34" s="214"/>
      <c r="DX34" s="214"/>
      <c r="DY34" s="214"/>
      <c r="DZ34" s="214"/>
      <c r="EA34" s="214"/>
      <c r="EB34" s="214"/>
      <c r="EC34" s="214"/>
      <c r="ED34" s="214"/>
      <c r="EE34" s="214"/>
      <c r="EF34" s="214"/>
      <c r="EG34" s="214"/>
      <c r="EH34" s="214"/>
      <c r="EI34" s="214"/>
      <c r="EJ34" s="214"/>
      <c r="EK34" s="214"/>
      <c r="EL34" s="214"/>
      <c r="EM34" s="214"/>
      <c r="EN34" s="214"/>
      <c r="EO34" s="214"/>
      <c r="EP34" s="214"/>
      <c r="EQ34" s="214"/>
      <c r="ER34" s="214"/>
      <c r="ES34" s="214"/>
      <c r="ET34" s="214"/>
      <c r="EU34" s="214"/>
      <c r="EV34" s="214"/>
      <c r="EW34" s="214"/>
      <c r="EX34" s="214"/>
      <c r="EY34" s="214"/>
      <c r="EZ34" s="214"/>
      <c r="FA34" s="214"/>
      <c r="FB34" s="214"/>
      <c r="FC34" s="214"/>
      <c r="FD34" s="214"/>
      <c r="FE34" s="214"/>
      <c r="FF34" s="214"/>
      <c r="FG34" s="214"/>
      <c r="FH34" s="214"/>
      <c r="FI34" s="214"/>
      <c r="FJ34" s="214"/>
      <c r="FK34" s="214"/>
      <c r="FL34" s="214"/>
      <c r="FM34" s="214"/>
      <c r="FN34" s="214"/>
      <c r="FO34" s="214"/>
      <c r="FP34" s="214"/>
      <c r="FQ34" s="214"/>
      <c r="FR34" s="214"/>
      <c r="FS34" s="214"/>
      <c r="FT34" s="214"/>
      <c r="FU34" s="214"/>
      <c r="FV34" s="214"/>
      <c r="FW34" s="214"/>
      <c r="FX34" s="214"/>
      <c r="FY34" s="214"/>
      <c r="FZ34" s="214"/>
      <c r="GA34" s="214"/>
      <c r="GB34" s="214"/>
      <c r="GC34" s="214"/>
      <c r="GD34" s="214"/>
      <c r="GE34" s="214"/>
      <c r="GF34" s="214"/>
      <c r="GG34" s="214"/>
      <c r="GH34" s="214"/>
      <c r="GI34" s="214"/>
      <c r="GJ34" s="214"/>
      <c r="GK34" s="214"/>
      <c r="GL34" s="214"/>
      <c r="GM34" s="214"/>
      <c r="GN34" s="214"/>
      <c r="GO34" s="214"/>
      <c r="GP34" s="214"/>
      <c r="GQ34" s="214"/>
      <c r="GR34" s="214"/>
      <c r="GS34" s="214"/>
      <c r="GT34" s="214"/>
      <c r="GU34" s="214"/>
      <c r="GV34" s="214"/>
      <c r="GW34" s="214"/>
      <c r="GX34" s="214"/>
      <c r="GY34" s="214"/>
      <c r="GZ34" s="214"/>
      <c r="HA34" s="214"/>
      <c r="HB34" s="214"/>
      <c r="HC34" s="214"/>
      <c r="HD34" s="214"/>
      <c r="HE34" s="214"/>
      <c r="HF34" s="214"/>
      <c r="HG34" s="214"/>
      <c r="HH34" s="214"/>
      <c r="HI34" s="214"/>
      <c r="HJ34" s="214"/>
      <c r="HK34" s="214"/>
      <c r="HL34" s="214"/>
      <c r="HM34" s="214"/>
      <c r="HN34" s="214"/>
      <c r="HO34" s="214"/>
      <c r="HP34" s="214"/>
      <c r="HQ34" s="214"/>
      <c r="HR34" s="214"/>
      <c r="HS34" s="214"/>
      <c r="HT34" s="214"/>
      <c r="HU34" s="214"/>
      <c r="HV34" s="214"/>
      <c r="HW34" s="214"/>
      <c r="HX34" s="214"/>
      <c r="HY34" s="214"/>
      <c r="HZ34" s="214"/>
      <c r="IA34" s="214"/>
      <c r="IB34" s="214"/>
      <c r="IC34" s="214"/>
      <c r="ID34" s="214"/>
      <c r="IE34" s="214"/>
      <c r="IF34" s="214"/>
      <c r="IG34" s="214"/>
      <c r="IH34" s="214"/>
      <c r="II34" s="214"/>
      <c r="IJ34" s="214"/>
      <c r="IK34" s="214"/>
      <c r="IL34" s="214"/>
      <c r="IM34" s="214"/>
      <c r="IN34" s="214"/>
      <c r="IO34" s="214"/>
      <c r="IP34" s="214"/>
      <c r="IQ34" s="214"/>
      <c r="IR34" s="214"/>
      <c r="IS34" s="214"/>
      <c r="IT34" s="214"/>
      <c r="IU34" s="214"/>
      <c r="IV34" s="214"/>
    </row>
    <row r="35" spans="1:256" s="201" customFormat="1" ht="15" customHeight="1">
      <c r="A35" s="411" t="s">
        <v>219</v>
      </c>
      <c r="B35" s="411"/>
      <c r="C35" s="411"/>
      <c r="D35" s="411"/>
      <c r="E35" s="411"/>
      <c r="F35" s="411"/>
      <c r="G35" s="411"/>
      <c r="H35" s="411"/>
      <c r="I35" s="411"/>
      <c r="J35" s="411"/>
      <c r="K35" s="220">
        <f>K27+K29</f>
        <v>12976952.828400001</v>
      </c>
      <c r="L35" s="221"/>
      <c r="M35" s="222">
        <v>2546969.7599999998</v>
      </c>
    </row>
    <row r="36" spans="1:256" s="201" customFormat="1" ht="15" customHeight="1">
      <c r="A36" s="407"/>
      <c r="B36" s="408"/>
      <c r="C36" s="408"/>
      <c r="D36" s="408"/>
      <c r="E36" s="408"/>
      <c r="F36" s="408"/>
      <c r="G36" s="408"/>
      <c r="H36" s="408"/>
      <c r="I36" s="408"/>
      <c r="J36" s="408"/>
      <c r="K36" s="412"/>
      <c r="L36" s="223"/>
    </row>
    <row r="37" spans="1:256" s="201" customFormat="1" ht="6.75" customHeight="1">
      <c r="A37" s="224"/>
      <c r="B37" s="217"/>
      <c r="C37" s="217"/>
      <c r="D37" s="217"/>
      <c r="E37" s="217"/>
      <c r="F37" s="217"/>
      <c r="G37" s="217"/>
      <c r="H37" s="217"/>
      <c r="I37" s="217"/>
      <c r="J37" s="217"/>
      <c r="K37" s="223"/>
      <c r="L37" s="225"/>
    </row>
    <row r="38" spans="1:256" ht="18" customHeight="1">
      <c r="A38" s="386" t="s">
        <v>220</v>
      </c>
      <c r="B38" s="387"/>
      <c r="C38" s="387"/>
      <c r="D38" s="387"/>
      <c r="E38" s="387"/>
      <c r="F38" s="387"/>
      <c r="G38" s="387"/>
      <c r="H38" s="387"/>
      <c r="I38" s="387"/>
      <c r="J38" s="387"/>
      <c r="K38" s="388"/>
      <c r="L38" s="193"/>
    </row>
    <row r="39" spans="1:256" ht="17.100000000000001" customHeight="1">
      <c r="A39" s="390" t="s">
        <v>221</v>
      </c>
      <c r="B39" s="390"/>
      <c r="C39" s="390"/>
      <c r="D39" s="390"/>
      <c r="E39" s="390"/>
      <c r="F39" s="390"/>
      <c r="G39" s="390"/>
      <c r="H39" s="390"/>
      <c r="I39" s="195"/>
    </row>
    <row r="40" spans="1:256" ht="17.100000000000001" customHeight="1">
      <c r="A40" s="390" t="s">
        <v>222</v>
      </c>
      <c r="B40" s="390"/>
      <c r="C40" s="390"/>
      <c r="D40" s="390"/>
      <c r="E40" s="390"/>
      <c r="F40" s="390"/>
      <c r="G40" s="390"/>
      <c r="H40" s="390"/>
      <c r="I40" s="195"/>
    </row>
    <row r="41" spans="1:256" ht="17.100000000000001" customHeight="1">
      <c r="A41" s="390" t="s">
        <v>223</v>
      </c>
      <c r="B41" s="390"/>
      <c r="C41" s="390"/>
      <c r="D41" s="390"/>
      <c r="E41" s="226"/>
      <c r="F41" s="226"/>
      <c r="G41" s="226"/>
      <c r="H41" s="405" t="s">
        <v>224</v>
      </c>
      <c r="I41" s="405"/>
      <c r="J41" s="405"/>
      <c r="K41" s="405"/>
    </row>
    <row r="42" spans="1:256" ht="17.100000000000001" customHeight="1">
      <c r="A42" s="390" t="s">
        <v>225</v>
      </c>
      <c r="B42" s="390"/>
      <c r="C42" s="390"/>
      <c r="D42" s="390"/>
      <c r="E42" s="226"/>
      <c r="F42" s="226"/>
      <c r="G42" s="226"/>
      <c r="H42" s="405" t="s">
        <v>226</v>
      </c>
      <c r="I42" s="405"/>
      <c r="J42" s="405"/>
      <c r="K42" s="405"/>
    </row>
    <row r="43" spans="1:256" ht="17.100000000000001" customHeight="1">
      <c r="A43" s="390" t="s">
        <v>227</v>
      </c>
      <c r="B43" s="390"/>
      <c r="C43" s="390"/>
      <c r="D43" s="390"/>
      <c r="E43" s="226"/>
      <c r="F43" s="226"/>
      <c r="G43" s="226"/>
      <c r="H43" s="405" t="s">
        <v>228</v>
      </c>
      <c r="I43" s="405"/>
      <c r="J43" s="405"/>
      <c r="K43" s="405"/>
    </row>
    <row r="44" spans="1:256" ht="17.100000000000001" customHeight="1">
      <c r="A44" s="390" t="s">
        <v>229</v>
      </c>
      <c r="B44" s="390"/>
      <c r="C44" s="390"/>
      <c r="D44" s="390"/>
      <c r="E44" s="227"/>
      <c r="F44" s="227"/>
      <c r="G44" s="227"/>
      <c r="H44" s="405" t="s">
        <v>230</v>
      </c>
      <c r="I44" s="405"/>
      <c r="J44" s="405"/>
      <c r="K44" s="405"/>
    </row>
    <row r="45" spans="1:256" ht="33.75" customHeight="1">
      <c r="A45" s="415" t="s">
        <v>231</v>
      </c>
      <c r="B45" s="416"/>
      <c r="C45" s="416"/>
      <c r="D45" s="416"/>
      <c r="E45" s="416"/>
      <c r="F45" s="416"/>
      <c r="G45" s="416"/>
      <c r="H45" s="416"/>
      <c r="I45" s="416"/>
      <c r="J45" s="416"/>
      <c r="K45" s="417"/>
      <c r="L45" s="193"/>
    </row>
    <row r="46" spans="1:256" ht="48" customHeight="1">
      <c r="A46" s="418" t="s">
        <v>232</v>
      </c>
      <c r="B46" s="389"/>
      <c r="C46" s="389"/>
      <c r="D46" s="389"/>
      <c r="E46" s="389"/>
      <c r="F46" s="389"/>
      <c r="G46" s="389"/>
      <c r="H46" s="389"/>
      <c r="I46" s="389"/>
      <c r="J46" s="389"/>
      <c r="K46" s="389"/>
      <c r="L46" s="419"/>
    </row>
    <row r="47" spans="1:256" s="228" customFormat="1" ht="48" customHeight="1">
      <c r="A47" s="413" t="s">
        <v>233</v>
      </c>
      <c r="B47" s="390"/>
      <c r="C47" s="390"/>
      <c r="D47" s="390"/>
      <c r="E47" s="390"/>
      <c r="F47" s="390"/>
      <c r="G47" s="390"/>
      <c r="H47" s="390"/>
      <c r="I47" s="390"/>
      <c r="J47" s="390"/>
      <c r="K47" s="390"/>
      <c r="L47" s="414"/>
    </row>
    <row r="48" spans="1:256" ht="28.5" customHeight="1">
      <c r="A48" s="413" t="s">
        <v>234</v>
      </c>
      <c r="B48" s="390"/>
      <c r="C48" s="390"/>
      <c r="D48" s="390"/>
      <c r="E48" s="390"/>
      <c r="F48" s="390"/>
      <c r="G48" s="390"/>
      <c r="H48" s="390"/>
      <c r="I48" s="390"/>
      <c r="J48" s="390"/>
      <c r="K48" s="390"/>
      <c r="L48" s="414"/>
    </row>
    <row r="49" spans="1:12" ht="28.5" customHeight="1">
      <c r="A49" s="413" t="s">
        <v>235</v>
      </c>
      <c r="B49" s="390"/>
      <c r="C49" s="390"/>
      <c r="D49" s="390"/>
      <c r="E49" s="390"/>
      <c r="F49" s="390"/>
      <c r="G49" s="390"/>
      <c r="H49" s="390"/>
      <c r="I49" s="390"/>
      <c r="J49" s="390"/>
      <c r="K49" s="390"/>
      <c r="L49" s="414"/>
    </row>
    <row r="50" spans="1:12" ht="21.75" customHeight="1">
      <c r="A50" s="413" t="s">
        <v>236</v>
      </c>
      <c r="B50" s="390"/>
      <c r="C50" s="390"/>
      <c r="D50" s="390"/>
      <c r="E50" s="390"/>
      <c r="F50" s="390"/>
      <c r="G50" s="390"/>
      <c r="H50" s="390"/>
      <c r="I50" s="390"/>
      <c r="J50" s="390"/>
      <c r="K50" s="390"/>
      <c r="L50" s="414"/>
    </row>
    <row r="51" spans="1:12" ht="27" customHeight="1">
      <c r="A51" s="413" t="s">
        <v>237</v>
      </c>
      <c r="B51" s="390"/>
      <c r="C51" s="390"/>
      <c r="D51" s="390"/>
      <c r="E51" s="390"/>
      <c r="F51" s="390"/>
      <c r="G51" s="390"/>
      <c r="H51" s="390"/>
      <c r="I51" s="390"/>
      <c r="J51" s="390"/>
      <c r="K51" s="390"/>
      <c r="L51" s="414"/>
    </row>
    <row r="52" spans="1:12" ht="18" customHeight="1">
      <c r="A52" s="386" t="s">
        <v>238</v>
      </c>
      <c r="B52" s="387"/>
      <c r="C52" s="387"/>
      <c r="D52" s="387"/>
      <c r="E52" s="387"/>
      <c r="F52" s="387"/>
      <c r="G52" s="387"/>
      <c r="H52" s="387"/>
      <c r="I52" s="387"/>
      <c r="J52" s="387"/>
      <c r="K52" s="388"/>
      <c r="L52" s="229"/>
    </row>
    <row r="53" spans="1:12" ht="33.75" customHeight="1">
      <c r="A53" s="386" t="s">
        <v>239</v>
      </c>
      <c r="B53" s="387"/>
      <c r="C53" s="387"/>
      <c r="D53" s="387"/>
      <c r="E53" s="387"/>
      <c r="F53" s="387"/>
      <c r="G53" s="387"/>
      <c r="H53" s="387"/>
      <c r="I53" s="387"/>
      <c r="J53" s="387"/>
      <c r="K53" s="388"/>
      <c r="L53" s="193"/>
    </row>
    <row r="54" spans="1:12" ht="15.75">
      <c r="A54" s="420"/>
      <c r="B54" s="421"/>
      <c r="C54" s="421"/>
      <c r="D54" s="421"/>
      <c r="E54" s="421"/>
      <c r="F54" s="421"/>
      <c r="G54" s="230"/>
      <c r="H54" s="231"/>
      <c r="I54" s="231"/>
      <c r="J54" s="232"/>
      <c r="K54" s="233"/>
      <c r="L54" s="232"/>
    </row>
    <row r="55" spans="1:12" ht="15.75">
      <c r="A55" s="422"/>
      <c r="B55" s="423"/>
      <c r="C55" s="423"/>
      <c r="D55" s="423"/>
      <c r="E55" s="423"/>
      <c r="F55" s="423"/>
      <c r="G55" s="423"/>
      <c r="H55" s="423"/>
      <c r="I55" s="234"/>
      <c r="J55" s="232"/>
      <c r="K55" s="233"/>
      <c r="L55" s="232"/>
    </row>
    <row r="56" spans="1:12" ht="15.75">
      <c r="A56" s="422"/>
      <c r="B56" s="423"/>
      <c r="C56" s="423"/>
      <c r="D56" s="423"/>
      <c r="E56" s="423"/>
      <c r="F56" s="423"/>
      <c r="G56" s="423"/>
      <c r="H56" s="423"/>
      <c r="I56" s="234"/>
      <c r="J56" s="232"/>
      <c r="K56" s="233"/>
      <c r="L56" s="232"/>
    </row>
    <row r="57" spans="1:12" ht="15.75">
      <c r="A57" s="422"/>
      <c r="B57" s="423"/>
      <c r="C57" s="423"/>
      <c r="D57" s="423"/>
      <c r="E57" s="423"/>
      <c r="F57" s="423"/>
      <c r="G57" s="423"/>
      <c r="H57" s="423"/>
      <c r="I57" s="234"/>
      <c r="J57" s="232"/>
      <c r="K57" s="233"/>
      <c r="L57" s="232"/>
    </row>
    <row r="58" spans="1:12" ht="15.75">
      <c r="A58" s="422"/>
      <c r="B58" s="423"/>
      <c r="C58" s="423"/>
      <c r="D58" s="423"/>
      <c r="E58" s="423"/>
      <c r="F58" s="423"/>
      <c r="G58" s="423"/>
      <c r="H58" s="423"/>
      <c r="I58" s="234"/>
      <c r="J58" s="232"/>
      <c r="K58" s="233"/>
      <c r="L58" s="232"/>
    </row>
    <row r="59" spans="1:12" ht="15.75">
      <c r="A59" s="235"/>
      <c r="B59" s="236"/>
      <c r="C59" s="236"/>
      <c r="D59" s="236"/>
      <c r="E59" s="236"/>
      <c r="F59" s="236"/>
      <c r="G59" s="236"/>
      <c r="H59" s="237"/>
      <c r="I59" s="237"/>
      <c r="J59" s="236"/>
      <c r="K59" s="238"/>
      <c r="L59" s="232"/>
    </row>
    <row r="60" spans="1:12" ht="15.75">
      <c r="A60" s="182"/>
      <c r="B60" s="182"/>
      <c r="C60" s="182"/>
      <c r="D60" s="182"/>
      <c r="E60" s="182"/>
      <c r="F60" s="182"/>
      <c r="G60" s="182"/>
      <c r="H60" s="182"/>
      <c r="I60" s="182"/>
      <c r="J60" s="182"/>
      <c r="K60" s="182"/>
      <c r="L60" s="182"/>
    </row>
  </sheetData>
  <mergeCells count="58">
    <mergeCell ref="A51:L51"/>
    <mergeCell ref="A52:K52"/>
    <mergeCell ref="A53:K53"/>
    <mergeCell ref="A54:F54"/>
    <mergeCell ref="A55:H58"/>
    <mergeCell ref="A50:L50"/>
    <mergeCell ref="A42:D42"/>
    <mergeCell ref="H42:K42"/>
    <mergeCell ref="A43:D43"/>
    <mergeCell ref="H43:K43"/>
    <mergeCell ref="A44:D44"/>
    <mergeCell ref="H44:K44"/>
    <mergeCell ref="A45:K45"/>
    <mergeCell ref="A46:L46"/>
    <mergeCell ref="A47:L47"/>
    <mergeCell ref="A48:L48"/>
    <mergeCell ref="A49:L49"/>
    <mergeCell ref="A41:D41"/>
    <mergeCell ref="H41:K41"/>
    <mergeCell ref="C29:D29"/>
    <mergeCell ref="A30:J30"/>
    <mergeCell ref="A31:K31"/>
    <mergeCell ref="A32:K32"/>
    <mergeCell ref="A33:J33"/>
    <mergeCell ref="A34:K34"/>
    <mergeCell ref="A35:J35"/>
    <mergeCell ref="A36:K36"/>
    <mergeCell ref="A38:K38"/>
    <mergeCell ref="A39:H39"/>
    <mergeCell ref="A40:H40"/>
    <mergeCell ref="A28:K28"/>
    <mergeCell ref="A15:F15"/>
    <mergeCell ref="A16:K16"/>
    <mergeCell ref="A17:F17"/>
    <mergeCell ref="H17:L17"/>
    <mergeCell ref="C18:D18"/>
    <mergeCell ref="A19:A26"/>
    <mergeCell ref="C19:D19"/>
    <mergeCell ref="C20:D20"/>
    <mergeCell ref="C21:D21"/>
    <mergeCell ref="C22:D22"/>
    <mergeCell ref="C23:D23"/>
    <mergeCell ref="C24:D24"/>
    <mergeCell ref="C25:D25"/>
    <mergeCell ref="C26:D26"/>
    <mergeCell ref="A27:D27"/>
    <mergeCell ref="A11:H11"/>
    <mergeCell ref="A12:K12"/>
    <mergeCell ref="A13:F13"/>
    <mergeCell ref="G13:K13"/>
    <mergeCell ref="A14:D14"/>
    <mergeCell ref="F14:L14"/>
    <mergeCell ref="A10:K10"/>
    <mergeCell ref="C2:K2"/>
    <mergeCell ref="A5:H5"/>
    <mergeCell ref="A6:H6"/>
    <mergeCell ref="A7:H7"/>
    <mergeCell ref="A9:K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6"/>
  <sheetViews>
    <sheetView showGridLines="0" view="pageBreakPreview" zoomScaleNormal="100" zoomScaleSheetLayoutView="100" workbookViewId="0">
      <selection activeCell="E19" sqref="E19"/>
    </sheetView>
  </sheetViews>
  <sheetFormatPr defaultRowHeight="14.25" customHeight="1"/>
  <cols>
    <col min="1" max="1" width="1.7109375" style="18" customWidth="1"/>
    <col min="2" max="2" width="13.7109375" style="3" customWidth="1"/>
    <col min="3" max="3" width="59.42578125" style="3" customWidth="1"/>
    <col min="4" max="4" width="12.140625" style="3" customWidth="1"/>
    <col min="5" max="5" width="16.5703125" style="3" customWidth="1"/>
    <col min="6" max="6" width="1.7109375" style="17" customWidth="1"/>
    <col min="7" max="7" width="1.7109375" style="18" customWidth="1"/>
    <col min="8" max="8" width="18.28515625" style="18" customWidth="1"/>
    <col min="9" max="9" width="18.5703125" style="18" customWidth="1"/>
    <col min="10" max="10" width="9.140625" style="18" hidden="1" customWidth="1"/>
    <col min="11" max="11" width="17.7109375" style="18" customWidth="1"/>
    <col min="12" max="12" width="11.5703125" style="18" bestFit="1" customWidth="1"/>
    <col min="13" max="13" width="9.140625" style="18"/>
    <col min="14" max="14" width="11.42578125" style="18" bestFit="1" customWidth="1"/>
    <col min="15" max="15" width="9.140625" style="18"/>
    <col min="16" max="16" width="10.5703125" style="18" bestFit="1" customWidth="1"/>
    <col min="17" max="17" width="13.140625" style="18" customWidth="1"/>
    <col min="18" max="16384" width="9.140625" style="18"/>
  </cols>
  <sheetData>
    <row r="1" spans="2:19" ht="14.25" customHeight="1" thickBot="1"/>
    <row r="2" spans="2:19" s="3" customFormat="1" ht="22.5" customHeight="1" thickBot="1">
      <c r="B2" s="482" t="s">
        <v>84</v>
      </c>
      <c r="C2" s="483"/>
      <c r="D2" s="483"/>
      <c r="E2" s="484"/>
      <c r="G2" s="19"/>
      <c r="J2" s="19" t="s">
        <v>0</v>
      </c>
    </row>
    <row r="3" spans="2:19" ht="14.25" customHeight="1" thickBot="1">
      <c r="J3" s="19" t="s">
        <v>1</v>
      </c>
    </row>
    <row r="4" spans="2:19" ht="14.25" customHeight="1">
      <c r="B4" s="485" t="s">
        <v>63</v>
      </c>
      <c r="C4" s="486"/>
      <c r="D4" s="486"/>
      <c r="E4" s="487"/>
      <c r="J4" s="19"/>
    </row>
    <row r="5" spans="2:19" ht="14.25" customHeight="1">
      <c r="B5" s="488" t="s">
        <v>75</v>
      </c>
      <c r="C5" s="489"/>
      <c r="D5" s="490"/>
      <c r="E5" s="63"/>
      <c r="J5" s="19"/>
    </row>
    <row r="6" spans="2:19" ht="14.25" customHeight="1">
      <c r="B6" s="457" t="s">
        <v>76</v>
      </c>
      <c r="C6" s="458"/>
      <c r="D6" s="459"/>
      <c r="E6" s="9" t="s">
        <v>83</v>
      </c>
      <c r="J6" s="19"/>
    </row>
    <row r="7" spans="2:19" ht="14.25" customHeight="1">
      <c r="B7" s="457" t="s">
        <v>77</v>
      </c>
      <c r="C7" s="458"/>
      <c r="D7" s="459"/>
      <c r="E7" s="9">
        <v>2024</v>
      </c>
      <c r="J7" s="19"/>
    </row>
    <row r="8" spans="2:19" ht="14.25" customHeight="1" thickBot="1">
      <c r="B8" s="479" t="s">
        <v>78</v>
      </c>
      <c r="C8" s="480"/>
      <c r="D8" s="481"/>
      <c r="E8" s="7">
        <v>12</v>
      </c>
      <c r="J8" s="19"/>
    </row>
    <row r="9" spans="2:19" ht="14.25" customHeight="1" thickBot="1">
      <c r="J9" s="19"/>
    </row>
    <row r="10" spans="2:19" ht="14.25" customHeight="1" thickBot="1">
      <c r="B10" s="485" t="s">
        <v>65</v>
      </c>
      <c r="C10" s="486"/>
      <c r="D10" s="486"/>
      <c r="E10" s="487"/>
      <c r="J10" s="19"/>
    </row>
    <row r="11" spans="2:19" s="174" customFormat="1" ht="33" customHeight="1" thickBot="1">
      <c r="B11" s="491" t="s">
        <v>2</v>
      </c>
      <c r="C11" s="492"/>
      <c r="D11" s="172" t="s">
        <v>3</v>
      </c>
      <c r="E11" s="11" t="s">
        <v>4</v>
      </c>
      <c r="F11" s="12"/>
      <c r="H11" s="13" t="s">
        <v>64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2:19" ht="14.25" customHeight="1" thickBot="1">
      <c r="B12" s="493" t="s">
        <v>190</v>
      </c>
      <c r="C12" s="494"/>
      <c r="D12" s="14" t="s">
        <v>94</v>
      </c>
      <c r="E12" s="15">
        <v>2</v>
      </c>
      <c r="F12" s="21"/>
      <c r="H12" s="16" t="s"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2:19" ht="14.25" customHeight="1" thickBot="1">
      <c r="B13" s="22"/>
      <c r="C13" s="22"/>
      <c r="D13" s="22"/>
      <c r="E13" s="22"/>
      <c r="F13" s="2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2:19" ht="14.25" customHeight="1">
      <c r="B14" s="485" t="s">
        <v>70</v>
      </c>
      <c r="C14" s="486"/>
      <c r="D14" s="486"/>
      <c r="E14" s="487"/>
      <c r="F14" s="2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2:19" ht="14.25" customHeight="1">
      <c r="B15" s="5">
        <v>1</v>
      </c>
      <c r="C15" s="495" t="s">
        <v>66</v>
      </c>
      <c r="D15" s="496"/>
      <c r="E15" s="8"/>
      <c r="F15" s="2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2:19" ht="14.25" customHeight="1">
      <c r="B16" s="6">
        <v>2</v>
      </c>
      <c r="C16" s="497" t="s">
        <v>67</v>
      </c>
      <c r="D16" s="498"/>
      <c r="E16" s="80">
        <f>'Supervisor - Diurna 12 x36h'!E16</f>
        <v>3266.67</v>
      </c>
      <c r="F16" s="2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14.25" customHeight="1">
      <c r="B17" s="6">
        <v>3</v>
      </c>
      <c r="C17" s="497" t="s">
        <v>68</v>
      </c>
      <c r="D17" s="498"/>
      <c r="E17" s="9" t="s">
        <v>112</v>
      </c>
      <c r="F17" s="2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4.25" customHeight="1" thickBot="1">
      <c r="B18" s="4">
        <v>4</v>
      </c>
      <c r="C18" s="499" t="s">
        <v>69</v>
      </c>
      <c r="D18" s="500"/>
      <c r="E18" s="64">
        <v>45292</v>
      </c>
      <c r="F18" s="2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 thickBot="1">
      <c r="B19" s="22"/>
      <c r="C19" s="22"/>
      <c r="D19" s="22"/>
      <c r="E19" s="22"/>
      <c r="F19" s="23"/>
      <c r="H19" t="s">
        <v>115</v>
      </c>
      <c r="I19" s="119">
        <f>E21+E22</f>
        <v>4246.6710000000003</v>
      </c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67"/>
      <c r="B20" s="476" t="s">
        <v>5</v>
      </c>
      <c r="C20" s="477"/>
      <c r="D20" s="477"/>
      <c r="E20" s="478"/>
      <c r="F20" s="25"/>
      <c r="H20" t="s">
        <v>116</v>
      </c>
      <c r="I20">
        <v>220</v>
      </c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4.25" customHeight="1">
      <c r="A21" s="67"/>
      <c r="B21" s="328" t="s">
        <v>6</v>
      </c>
      <c r="C21" s="345"/>
      <c r="D21" s="27"/>
      <c r="E21" s="28">
        <f>E16</f>
        <v>3266.67</v>
      </c>
      <c r="F21" s="29"/>
      <c r="H21" t="s">
        <v>117</v>
      </c>
      <c r="I21" s="120">
        <v>0.2</v>
      </c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4.25" customHeight="1">
      <c r="A22" s="67"/>
      <c r="B22" s="328" t="s">
        <v>111</v>
      </c>
      <c r="C22" s="345"/>
      <c r="D22" s="121">
        <v>0.3</v>
      </c>
      <c r="E22" s="28">
        <f>E21*D22</f>
        <v>980.00099999999998</v>
      </c>
      <c r="F22" s="29"/>
      <c r="H22" t="s">
        <v>118</v>
      </c>
      <c r="I22">
        <f>60/52.5</f>
        <v>1.1428571428571428</v>
      </c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4.25" customHeight="1">
      <c r="A23" s="67"/>
      <c r="B23" s="504" t="s">
        <v>123</v>
      </c>
      <c r="C23" s="505"/>
      <c r="D23" s="71">
        <v>0.2</v>
      </c>
      <c r="E23" s="28">
        <f>(((E21+E22)/220)*20%)*(15*7)</f>
        <v>405.36405000000008</v>
      </c>
      <c r="F23" s="29"/>
      <c r="H23" t="s">
        <v>119</v>
      </c>
      <c r="I23">
        <v>7</v>
      </c>
      <c r="J23" s="1"/>
      <c r="K23" s="81"/>
      <c r="L23" s="474"/>
      <c r="M23" s="474"/>
      <c r="N23" s="1"/>
      <c r="O23" s="1"/>
      <c r="P23" s="1"/>
      <c r="Q23" s="1"/>
      <c r="R23" s="1"/>
      <c r="S23" s="1"/>
    </row>
    <row r="24" spans="1:19" ht="14.25" customHeight="1">
      <c r="A24" s="67"/>
      <c r="B24" s="328" t="s">
        <v>129</v>
      </c>
      <c r="C24" s="43"/>
      <c r="D24" s="32">
        <v>0.2</v>
      </c>
      <c r="E24" s="109">
        <f>((E21+E22)/220)*D24*15</f>
        <v>57.909150000000011</v>
      </c>
      <c r="F24" s="29"/>
      <c r="H24"/>
      <c r="I24"/>
      <c r="J24" s="1"/>
      <c r="K24" s="81"/>
      <c r="L24" s="176"/>
      <c r="M24" s="176"/>
      <c r="N24" s="1"/>
      <c r="O24" s="1"/>
      <c r="P24" s="1"/>
      <c r="Q24" s="1"/>
      <c r="R24" s="1"/>
      <c r="S24" s="1"/>
    </row>
    <row r="25" spans="1:19" ht="14.25" customHeight="1" thickBot="1">
      <c r="A25" s="67"/>
      <c r="B25" s="506" t="s">
        <v>7</v>
      </c>
      <c r="C25" s="507"/>
      <c r="D25" s="462"/>
      <c r="E25" s="30">
        <f>SUM(E21:E24)</f>
        <v>4709.9442000000008</v>
      </c>
      <c r="F25" s="31"/>
      <c r="H25" t="s">
        <v>120</v>
      </c>
      <c r="I25">
        <v>15</v>
      </c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4.25" customHeight="1" thickBot="1">
      <c r="H26" t="s">
        <v>121</v>
      </c>
      <c r="I26">
        <f>I19/I20*I21*I23*I25*I22</f>
        <v>463.27320000000009</v>
      </c>
      <c r="J26" s="1"/>
      <c r="K26" s="474"/>
      <c r="L26" s="474"/>
      <c r="M26" s="1"/>
      <c r="N26" s="1"/>
      <c r="O26" s="1"/>
      <c r="P26" s="1"/>
      <c r="Q26" s="1"/>
      <c r="R26" s="1"/>
      <c r="S26" s="1"/>
    </row>
    <row r="27" spans="1:19" ht="14.25" customHeight="1" thickBot="1">
      <c r="B27" s="454" t="s">
        <v>8</v>
      </c>
      <c r="C27" s="455"/>
      <c r="D27" s="455"/>
      <c r="E27" s="456"/>
      <c r="F27" s="25"/>
      <c r="H27" s="1"/>
      <c r="I27" s="1"/>
      <c r="J27" s="1"/>
      <c r="K27" s="1"/>
      <c r="L27" s="1"/>
      <c r="M27" s="1"/>
      <c r="N27" s="77"/>
      <c r="O27" s="1"/>
      <c r="P27" s="1"/>
      <c r="Q27" s="1"/>
      <c r="R27" s="1"/>
      <c r="S27" s="1"/>
    </row>
    <row r="28" spans="1:19" ht="14.25" customHeight="1">
      <c r="B28" s="471" t="s">
        <v>9</v>
      </c>
      <c r="C28" s="472"/>
      <c r="D28" s="472"/>
      <c r="E28" s="473"/>
      <c r="F28" s="23"/>
      <c r="H28" s="1"/>
      <c r="I28" s="1"/>
      <c r="J28" s="1"/>
      <c r="K28" s="1"/>
      <c r="L28" s="1"/>
      <c r="M28" s="1"/>
      <c r="N28" s="77"/>
      <c r="O28" s="1"/>
      <c r="P28" s="1"/>
      <c r="Q28" s="1"/>
      <c r="R28" s="1"/>
      <c r="S28" s="1"/>
    </row>
    <row r="29" spans="1:19" ht="14.25" customHeight="1">
      <c r="B29" s="170" t="s">
        <v>10</v>
      </c>
      <c r="C29" s="171"/>
      <c r="D29" s="32">
        <f>' Desarmada - Noturna 12 x36'!D29</f>
        <v>8.3299999999999999E-2</v>
      </c>
      <c r="E29" s="33">
        <f>IF($E$25="","",D29*$E$25)</f>
        <v>392.33835186000005</v>
      </c>
      <c r="F29" s="34"/>
      <c r="H29" s="1"/>
      <c r="I29" s="1"/>
      <c r="J29" s="1"/>
      <c r="K29" s="1"/>
      <c r="L29" s="1"/>
      <c r="M29" s="1"/>
      <c r="N29" s="77"/>
      <c r="O29" s="1"/>
      <c r="P29" s="1"/>
      <c r="Q29" s="1"/>
      <c r="R29" s="1"/>
      <c r="S29" s="1"/>
    </row>
    <row r="30" spans="1:19" ht="14.25" customHeight="1">
      <c r="B30" s="298" t="s">
        <v>37</v>
      </c>
      <c r="C30" s="299"/>
      <c r="D30" s="32">
        <f>'Supervisor - Diurna 12 x36h'!D28</f>
        <v>8.9300000000000004E-2</v>
      </c>
      <c r="E30" s="33">
        <f>E25*D30</f>
        <v>420.59801706000007</v>
      </c>
      <c r="F30" s="34"/>
      <c r="H30" s="1"/>
      <c r="I30" s="1"/>
      <c r="J30" s="1"/>
      <c r="K30" s="1"/>
      <c r="L30" s="1"/>
      <c r="M30" s="1"/>
      <c r="N30" s="77"/>
      <c r="O30" s="1"/>
      <c r="P30" s="1"/>
      <c r="Q30" s="1"/>
      <c r="R30" s="1"/>
      <c r="S30" s="1"/>
    </row>
    <row r="31" spans="1:19" ht="14.25" customHeight="1">
      <c r="B31" s="298" t="s">
        <v>277</v>
      </c>
      <c r="C31" s="299"/>
      <c r="D31" s="32">
        <f>'Supervisor - Diurna 12 x36h'!D29</f>
        <v>3.1699999999999999E-2</v>
      </c>
      <c r="E31" s="33">
        <f>E25*D31</f>
        <v>149.30523114000002</v>
      </c>
      <c r="F31" s="3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4.25" customHeight="1" thickBot="1">
      <c r="B32" s="469" t="s">
        <v>11</v>
      </c>
      <c r="C32" s="475"/>
      <c r="D32" s="470"/>
      <c r="E32" s="35">
        <f>IF(E25="","",SUM(E29:E31))</f>
        <v>962.24160006000022</v>
      </c>
      <c r="F32" s="3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2:19" ht="14.25" customHeight="1">
      <c r="B33" s="471" t="s">
        <v>12</v>
      </c>
      <c r="C33" s="472"/>
      <c r="D33" s="472"/>
      <c r="E33" s="473"/>
      <c r="F33" s="23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2:19" ht="14.25" customHeight="1">
      <c r="B34" s="170" t="s">
        <v>13</v>
      </c>
      <c r="C34" s="171"/>
      <c r="D34" s="32">
        <v>0.2</v>
      </c>
      <c r="E34" s="33">
        <f>IF($E$25="","",($E$25+$E$32)*D34)</f>
        <v>1134.4371600120003</v>
      </c>
      <c r="F34" s="34"/>
      <c r="H34" s="1"/>
      <c r="I34" s="1"/>
      <c r="J34" s="1"/>
      <c r="K34" s="36"/>
      <c r="L34" s="1"/>
      <c r="M34" s="1"/>
      <c r="N34" s="1"/>
      <c r="O34" s="1"/>
      <c r="P34" s="1"/>
      <c r="Q34" s="1"/>
      <c r="R34" s="1"/>
      <c r="S34" s="1"/>
    </row>
    <row r="35" spans="2:19" ht="14.25" customHeight="1">
      <c r="B35" s="170" t="s">
        <v>14</v>
      </c>
      <c r="C35" s="171"/>
      <c r="D35" s="32">
        <v>1.4999999999999999E-2</v>
      </c>
      <c r="E35" s="33">
        <f t="shared" ref="E35:E41" si="0">IF($E$25="","",($E$25+$E$32)*D35)</f>
        <v>85.082787000900012</v>
      </c>
      <c r="F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2:19" ht="14.25" customHeight="1">
      <c r="B36" s="170" t="s">
        <v>15</v>
      </c>
      <c r="C36" s="171"/>
      <c r="D36" s="32">
        <v>0.01</v>
      </c>
      <c r="E36" s="33">
        <f>IF($E$25="","",($E$25+$E$32)*D36)</f>
        <v>56.721858000600015</v>
      </c>
      <c r="F36" s="3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2:19" ht="14.25" customHeight="1">
      <c r="B37" s="170" t="s">
        <v>16</v>
      </c>
      <c r="C37" s="171"/>
      <c r="D37" s="32">
        <v>2E-3</v>
      </c>
      <c r="E37" s="33">
        <f t="shared" si="0"/>
        <v>11.344371600120002</v>
      </c>
      <c r="F37" s="3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2:19" ht="14.25" customHeight="1">
      <c r="B38" s="170" t="s">
        <v>17</v>
      </c>
      <c r="C38" s="171"/>
      <c r="D38" s="32">
        <v>2.5000000000000001E-2</v>
      </c>
      <c r="E38" s="33">
        <f>IF($E$25="","",($E$25+$E$32)*D38)</f>
        <v>141.80464500150003</v>
      </c>
      <c r="F38" s="3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2:19" ht="14.25" customHeight="1">
      <c r="B39" s="170" t="s">
        <v>18</v>
      </c>
      <c r="C39" s="171"/>
      <c r="D39" s="32">
        <v>0.08</v>
      </c>
      <c r="E39" s="33">
        <f t="shared" si="0"/>
        <v>453.77486400480012</v>
      </c>
      <c r="F39" s="34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2:19" ht="14.25" customHeight="1">
      <c r="B40" s="170" t="s">
        <v>19</v>
      </c>
      <c r="C40" s="171"/>
      <c r="D40" s="37">
        <f>' Desarmada - Noturna 12 x36'!D40</f>
        <v>1.4999999999999999E-2</v>
      </c>
      <c r="E40" s="33">
        <f>IF($E$25="","",($E$25+$E$32)*D40)</f>
        <v>85.082787000900012</v>
      </c>
      <c r="F40" s="34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2:19" ht="14.25" customHeight="1">
      <c r="B41" s="170" t="s">
        <v>20</v>
      </c>
      <c r="C41" s="171"/>
      <c r="D41" s="32">
        <v>6.0000000000000001E-3</v>
      </c>
      <c r="E41" s="33">
        <f t="shared" si="0"/>
        <v>34.033114800360011</v>
      </c>
      <c r="F41" s="34"/>
      <c r="H41" s="450" t="s">
        <v>23</v>
      </c>
      <c r="I41" s="468">
        <v>15</v>
      </c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2:19" ht="14.25" customHeight="1" thickBot="1">
      <c r="B42" s="469" t="s">
        <v>21</v>
      </c>
      <c r="C42" s="470"/>
      <c r="D42" s="38">
        <f>SUM(D34:D41)</f>
        <v>0.35300000000000009</v>
      </c>
      <c r="E42" s="35">
        <f>IF(E25="","",SUM(E34:E41))</f>
        <v>2002.2815874211803</v>
      </c>
      <c r="F42" s="31"/>
      <c r="H42" s="450"/>
      <c r="I42" s="468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2:19" ht="14.25" customHeight="1">
      <c r="B43" s="471" t="s">
        <v>22</v>
      </c>
      <c r="C43" s="472"/>
      <c r="D43" s="472"/>
      <c r="E43" s="473"/>
      <c r="F43" s="23"/>
      <c r="H43" s="450"/>
      <c r="I43" s="468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2:19" ht="14.25" customHeight="1">
      <c r="B44" s="457" t="s">
        <v>24</v>
      </c>
      <c r="C44" s="458"/>
      <c r="D44" s="459"/>
      <c r="E44" s="33">
        <f>I44*I41</f>
        <v>696.33899999999994</v>
      </c>
      <c r="F44" s="34"/>
      <c r="H44" s="56" t="s">
        <v>72</v>
      </c>
      <c r="I44" s="114">
        <f>47.37-(47.37*2%)</f>
        <v>46.422599999999996</v>
      </c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2:19" ht="14.25" customHeight="1">
      <c r="B45" s="457" t="s">
        <v>25</v>
      </c>
      <c r="C45" s="458"/>
      <c r="D45" s="459"/>
      <c r="E45" s="33">
        <v>0</v>
      </c>
      <c r="F45" s="34"/>
      <c r="H45" s="56" t="s">
        <v>26</v>
      </c>
      <c r="I45" s="173">
        <v>5.5</v>
      </c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2:19" ht="14.25" customHeight="1">
      <c r="B46" s="42" t="s">
        <v>188</v>
      </c>
      <c r="C46" s="43"/>
      <c r="D46" s="44"/>
      <c r="E46" s="155">
        <f>' Desarmada - Noturna 12 x36'!E46</f>
        <v>10</v>
      </c>
      <c r="F46" s="34"/>
      <c r="H46" s="56"/>
      <c r="I46" s="173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2:19" ht="14.25" customHeight="1">
      <c r="B47" s="42"/>
      <c r="C47" s="43"/>
      <c r="D47" s="44"/>
      <c r="E47" s="142"/>
      <c r="F47" s="34"/>
      <c r="H47" s="56"/>
      <c r="I47" s="173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2:19" ht="14.25" customHeight="1">
      <c r="B48" s="42"/>
      <c r="C48" s="43"/>
      <c r="D48" s="44"/>
      <c r="E48" s="142"/>
      <c r="F48" s="34"/>
      <c r="H48" s="56"/>
      <c r="I48" s="173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2:19" ht="14.25" customHeight="1" thickBot="1">
      <c r="B49" s="469" t="s">
        <v>27</v>
      </c>
      <c r="C49" s="475"/>
      <c r="D49" s="470">
        <f>SUM(D44:D45)</f>
        <v>0</v>
      </c>
      <c r="E49" s="35">
        <f>E45+E44+E46+E47+E48</f>
        <v>706.33899999999994</v>
      </c>
      <c r="F49" s="31"/>
      <c r="H49" s="56"/>
      <c r="I49" s="57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2:19" ht="14.25" customHeight="1" thickBot="1">
      <c r="B50" s="460" t="s">
        <v>28</v>
      </c>
      <c r="C50" s="461"/>
      <c r="D50" s="462"/>
      <c r="E50" s="30">
        <f>IF(E25="","",E32+E42+E49)</f>
        <v>3670.8621874811806</v>
      </c>
      <c r="F50" s="31"/>
      <c r="H50" s="56"/>
      <c r="I50" s="57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2:19" ht="14.25" customHeight="1" thickBot="1">
      <c r="H51" s="56"/>
      <c r="I51" s="57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2:19" ht="14.25" customHeight="1" thickBot="1">
      <c r="B52" s="454" t="s">
        <v>29</v>
      </c>
      <c r="C52" s="455"/>
      <c r="D52" s="455"/>
      <c r="E52" s="456"/>
      <c r="F52" s="25"/>
      <c r="H52" s="56"/>
      <c r="I52" s="57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2:19" ht="14.25" customHeight="1">
      <c r="B53" s="170" t="s">
        <v>30</v>
      </c>
      <c r="C53" s="170"/>
      <c r="D53" s="32">
        <f>' Desarmada - Noturna 12 x36'!D53</f>
        <v>8.3333333333333328E-4</v>
      </c>
      <c r="E53" s="33">
        <f t="shared" ref="E53:E58" si="1">IF($E$25="","",D53*$E$25)</f>
        <v>3.9249535000000004</v>
      </c>
      <c r="F53" s="34"/>
      <c r="H53" s="450" t="s">
        <v>71</v>
      </c>
      <c r="I53" s="451">
        <v>5.5500000000000001E-2</v>
      </c>
      <c r="J53" s="1"/>
      <c r="K53" s="72"/>
      <c r="L53" s="1"/>
      <c r="M53" s="1"/>
      <c r="N53" s="1"/>
      <c r="O53" s="1"/>
      <c r="P53" s="1"/>
      <c r="Q53" s="1"/>
      <c r="R53" s="1"/>
      <c r="S53" s="1"/>
    </row>
    <row r="54" spans="2:19" ht="14.25" customHeight="1">
      <c r="B54" s="170" t="s">
        <v>31</v>
      </c>
      <c r="C54" s="170"/>
      <c r="D54" s="32">
        <f>' Desarmada - Noturna 12 x36'!D54</f>
        <v>6.666666666666667E-5</v>
      </c>
      <c r="E54" s="33">
        <f t="shared" si="1"/>
        <v>0.31399628000000007</v>
      </c>
      <c r="F54" s="34"/>
      <c r="H54" s="450"/>
      <c r="I54" s="45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2:19" ht="14.25" customHeight="1">
      <c r="B55" s="170" t="s">
        <v>183</v>
      </c>
      <c r="C55" s="170"/>
      <c r="D55" s="178">
        <f>' Desarmada - Noturna 12 x36'!D55</f>
        <v>3.4000000000000002E-2</v>
      </c>
      <c r="E55" s="33">
        <f t="shared" si="1"/>
        <v>160.13810280000004</v>
      </c>
      <c r="F55" s="34"/>
      <c r="H55" s="450" t="s">
        <v>74</v>
      </c>
      <c r="I55" s="468">
        <v>0.9</v>
      </c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2:19" ht="14.25" customHeight="1">
      <c r="B56" s="170" t="s">
        <v>33</v>
      </c>
      <c r="C56" s="170"/>
      <c r="D56" s="32">
        <f>' Desarmada - Noturna 12 x36'!D56</f>
        <v>1.9444444444444446E-4</v>
      </c>
      <c r="E56" s="33">
        <f t="shared" si="1"/>
        <v>0.9158224833333336</v>
      </c>
      <c r="F56" s="34"/>
      <c r="H56" s="450"/>
      <c r="I56" s="468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2:19" ht="14.25" customHeight="1">
      <c r="B57" s="170" t="s">
        <v>34</v>
      </c>
      <c r="C57" s="171"/>
      <c r="D57" s="32">
        <f>' Desarmada - Noturna 12 x36'!D57</f>
        <v>6.8638888888888916E-5</v>
      </c>
      <c r="E57" s="33">
        <f t="shared" si="1"/>
        <v>0.32328533661666686</v>
      </c>
      <c r="F57" s="34"/>
      <c r="H57" s="450"/>
      <c r="I57" s="468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2:19" ht="14.25" customHeight="1">
      <c r="B58" s="170" t="s">
        <v>185</v>
      </c>
      <c r="C58" s="170"/>
      <c r="D58" s="178">
        <f>' Desarmada - Noturna 12 x36'!D58</f>
        <v>6.0000000000000001E-3</v>
      </c>
      <c r="E58" s="33">
        <f t="shared" si="1"/>
        <v>28.259665200000004</v>
      </c>
      <c r="F58" s="34"/>
      <c r="H58" s="56"/>
      <c r="I58" s="56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2:19" ht="14.25" customHeight="1" thickBot="1">
      <c r="B59" s="460" t="s">
        <v>35</v>
      </c>
      <c r="C59" s="461"/>
      <c r="D59" s="462"/>
      <c r="E59" s="30">
        <f>IF(E25="","",SUM(E53:E58))</f>
        <v>193.87582559995005</v>
      </c>
      <c r="F59" s="31"/>
      <c r="H59" s="56"/>
      <c r="I59" s="56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2:19" ht="14.25" customHeight="1" thickBot="1">
      <c r="H60" s="56"/>
      <c r="I60" s="56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2:19" ht="14.25" customHeight="1" thickBot="1">
      <c r="B61" s="454" t="s">
        <v>36</v>
      </c>
      <c r="C61" s="455"/>
      <c r="D61" s="455"/>
      <c r="E61" s="456"/>
      <c r="F61" s="25"/>
      <c r="H61" s="56"/>
      <c r="I61" s="56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2:19" ht="14.25" customHeight="1">
      <c r="B62" s="170" t="s">
        <v>37</v>
      </c>
      <c r="C62" s="171"/>
      <c r="D62" s="178">
        <f>' Desarmada - Noturna 12 x36'!D62</f>
        <v>0</v>
      </c>
      <c r="E62" s="33">
        <f>IF($E$25="","",D62*$E$25)</f>
        <v>0</v>
      </c>
      <c r="F62" s="34"/>
      <c r="H62" s="56"/>
      <c r="I62" s="56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2:19" ht="14.25" customHeight="1">
      <c r="B63" s="170" t="s">
        <v>38</v>
      </c>
      <c r="C63" s="171"/>
      <c r="D63" s="32">
        <f>' Desarmada - Noturna 12 x36'!D63</f>
        <v>1.6444444444444446E-4</v>
      </c>
      <c r="E63" s="33">
        <f>IF($E$25="","",D63*$E$25)</f>
        <v>0.77452415733333357</v>
      </c>
      <c r="F63" s="34"/>
      <c r="H63" s="56" t="s">
        <v>39</v>
      </c>
      <c r="I63" s="173">
        <v>5.96</v>
      </c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2:19" ht="14.25" customHeight="1">
      <c r="B64" s="170" t="s">
        <v>40</v>
      </c>
      <c r="C64" s="171"/>
      <c r="D64" s="32">
        <f>' Desarmada - Noturna 12 x36'!D64</f>
        <v>2.0833333333333332E-4</v>
      </c>
      <c r="E64" s="33">
        <f>IF($E$25="","",D64*$E$25)</f>
        <v>0.98123837500000011</v>
      </c>
      <c r="F64" s="34"/>
      <c r="H64" s="56" t="s">
        <v>41</v>
      </c>
      <c r="I64" s="175">
        <v>1.4999999999999999E-2</v>
      </c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2:19" ht="14.25" customHeight="1">
      <c r="B65" s="170" t="s">
        <v>42</v>
      </c>
      <c r="C65" s="171"/>
      <c r="D65" s="32">
        <f>' Desarmada - Noturna 12 x36'!D65</f>
        <v>2.0833333333333332E-4</v>
      </c>
      <c r="E65" s="33">
        <f>IF($E$25="","",D65*$E$25)</f>
        <v>0.98123837500000011</v>
      </c>
      <c r="F65" s="34"/>
      <c r="H65" s="56" t="s">
        <v>73</v>
      </c>
      <c r="I65" s="175">
        <v>0.08</v>
      </c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2:19" ht="14.25" customHeight="1">
      <c r="B66" s="170" t="s">
        <v>43</v>
      </c>
      <c r="C66" s="171"/>
      <c r="D66" s="32">
        <f>' Desarmada - Noturna 12 x36'!D66</f>
        <v>1.6180555555555555E-4</v>
      </c>
      <c r="E66" s="33">
        <f>IF($E$25="","",D66*$E$25)</f>
        <v>0.76209513791666683</v>
      </c>
      <c r="F66" s="34"/>
      <c r="H66" s="450" t="s">
        <v>44</v>
      </c>
      <c r="I66" s="451">
        <v>0.02</v>
      </c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2:19" ht="14.25" customHeight="1">
      <c r="B67" s="170" t="s">
        <v>45</v>
      </c>
      <c r="C67" s="171"/>
      <c r="D67" s="32"/>
      <c r="E67" s="33" t="s">
        <v>46</v>
      </c>
      <c r="F67" s="34"/>
      <c r="H67" s="450"/>
      <c r="I67" s="45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2:19" ht="14.25" customHeight="1" thickBot="1">
      <c r="B68" s="469" t="s">
        <v>47</v>
      </c>
      <c r="C68" s="475"/>
      <c r="D68" s="470"/>
      <c r="E68" s="35">
        <f>IF(E25="","",SUM(E62:E67))</f>
        <v>3.4990960452500008</v>
      </c>
      <c r="F68" s="31"/>
      <c r="H68" s="450"/>
      <c r="I68" s="45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2:19" ht="14.25" customHeight="1" thickBot="1">
      <c r="B69" s="501" t="s">
        <v>48</v>
      </c>
      <c r="C69" s="502"/>
      <c r="D69" s="503">
        <f>SUM(D66:D68)</f>
        <v>1.6180555555555555E-4</v>
      </c>
      <c r="E69" s="39">
        <f>IF(E25="","",E68*D42)</f>
        <v>1.2351809039732506</v>
      </c>
      <c r="F69" s="3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2:19" ht="14.25" customHeight="1" thickBot="1">
      <c r="B70" s="465" t="s">
        <v>49</v>
      </c>
      <c r="C70" s="466"/>
      <c r="D70" s="467"/>
      <c r="E70" s="40">
        <f>IF(E25="","",E68+E69)</f>
        <v>4.7342769492232515</v>
      </c>
      <c r="F70" s="31"/>
      <c r="H70" s="4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2:19" ht="14.25" customHeight="1" thickBot="1">
      <c r="H71" s="4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2:19" ht="14.25" customHeight="1" thickBot="1">
      <c r="B72" s="454" t="s">
        <v>50</v>
      </c>
      <c r="C72" s="455"/>
      <c r="D72" s="455"/>
      <c r="E72" s="456"/>
      <c r="F72" s="25"/>
      <c r="H72" s="36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2:19" ht="14.25" customHeight="1">
      <c r="B73" s="457" t="s">
        <v>89</v>
      </c>
      <c r="C73" s="458"/>
      <c r="D73" s="459"/>
      <c r="E73" s="96">
        <f>Uniformes!H15</f>
        <v>35.333075000000001</v>
      </c>
      <c r="F73" s="29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2:19" ht="14.25" customHeight="1">
      <c r="B74" s="42" t="s">
        <v>51</v>
      </c>
      <c r="C74" s="43"/>
      <c r="D74" s="44"/>
      <c r="E74" s="179">
        <f>Equipamentos!H23+Equipamentos!H19+Equipamentos!H28</f>
        <v>5.9026762500000007</v>
      </c>
      <c r="F74" s="29"/>
      <c r="H74" s="474"/>
      <c r="I74" s="474"/>
      <c r="J74" s="1"/>
      <c r="O74" s="1"/>
      <c r="P74" s="1"/>
      <c r="Q74" s="1"/>
      <c r="R74" s="1"/>
      <c r="S74" s="1"/>
    </row>
    <row r="75" spans="2:19" ht="14.25" customHeight="1" thickBot="1">
      <c r="B75" s="460" t="s">
        <v>52</v>
      </c>
      <c r="C75" s="461"/>
      <c r="D75" s="462"/>
      <c r="E75" s="30">
        <f>IF(E25="","",SUM(E73:E74))</f>
        <v>41.23575125</v>
      </c>
      <c r="F75" s="31"/>
      <c r="H75" s="1"/>
      <c r="I75" s="1"/>
      <c r="J75" s="1"/>
      <c r="O75" s="1"/>
      <c r="P75" s="1"/>
      <c r="Q75" s="1"/>
      <c r="R75" s="1"/>
      <c r="S75" s="1"/>
    </row>
    <row r="76" spans="2:19" ht="14.25" customHeight="1" thickBot="1">
      <c r="H76" s="1"/>
      <c r="I76" s="1"/>
      <c r="J76" s="1"/>
      <c r="O76" s="66"/>
      <c r="P76" s="1"/>
      <c r="Q76" s="1"/>
      <c r="R76" s="1"/>
      <c r="S76" s="1"/>
    </row>
    <row r="77" spans="2:19" ht="14.25" customHeight="1" thickBot="1">
      <c r="B77" s="454" t="s">
        <v>53</v>
      </c>
      <c r="C77" s="455"/>
      <c r="D77" s="455"/>
      <c r="E77" s="456"/>
      <c r="F77" s="25"/>
      <c r="I77" s="1"/>
      <c r="J77" s="1"/>
      <c r="O77" s="66"/>
      <c r="P77" s="1"/>
      <c r="Q77" s="1"/>
      <c r="R77" s="1"/>
      <c r="S77" s="1"/>
    </row>
    <row r="78" spans="2:19" ht="14.25" customHeight="1" thickBot="1">
      <c r="B78" s="45" t="s">
        <v>54</v>
      </c>
      <c r="C78" s="46"/>
      <c r="D78" s="177">
        <v>2.269063E-2</v>
      </c>
      <c r="E78" s="47">
        <f>IF($E$25="","",($E$25+$E$50+$E$59+$E$70+$E$75)*$D$78)</f>
        <v>195.60803036556322</v>
      </c>
      <c r="F78" s="34"/>
      <c r="H78" s="1"/>
      <c r="I78" s="1"/>
      <c r="J78" s="1"/>
      <c r="O78" s="66"/>
      <c r="P78" s="1"/>
      <c r="Q78" s="1"/>
      <c r="R78" s="36"/>
      <c r="S78" s="1"/>
    </row>
    <row r="79" spans="2:19" ht="14.25" customHeight="1" thickBot="1">
      <c r="B79" s="48" t="s">
        <v>55</v>
      </c>
      <c r="C79" s="49"/>
      <c r="D79" s="156">
        <v>0.03</v>
      </c>
      <c r="E79" s="47">
        <f>IF($E$25="","",($D$79*($E$25+$E$50+$E$59+$E$70+$E$75+$E$78+$E$82)/(1-SUM($D$79:$D$81))))</f>
        <v>292.42768060303365</v>
      </c>
      <c r="F79" s="34"/>
      <c r="H79" s="1"/>
      <c r="I79" s="1"/>
      <c r="J79" s="1"/>
      <c r="O79" s="66"/>
      <c r="P79" s="1"/>
      <c r="Q79" s="1"/>
      <c r="R79" s="1"/>
      <c r="S79" s="1"/>
    </row>
    <row r="80" spans="2:19" ht="14.25" customHeight="1" thickBot="1">
      <c r="B80" s="170" t="s">
        <v>56</v>
      </c>
      <c r="C80" s="171"/>
      <c r="D80" s="156">
        <v>6.4999999999999997E-3</v>
      </c>
      <c r="E80" s="47">
        <f>IF($E$25="","",($D$80*($E$25+$E$50+$E$59+$E$70+$E$75+$E$78+$E$82)/(1-SUM($D$79:$D$81))))</f>
        <v>63.359330797323963</v>
      </c>
      <c r="F80" s="34"/>
      <c r="H80" s="1"/>
      <c r="I80" s="1"/>
      <c r="J80" s="1"/>
      <c r="O80" s="66"/>
      <c r="P80" s="1"/>
      <c r="Q80" s="1"/>
      <c r="R80" s="36"/>
      <c r="S80" s="1"/>
    </row>
    <row r="81" spans="2:19" ht="14.25" customHeight="1" thickBot="1">
      <c r="B81" s="170" t="s">
        <v>57</v>
      </c>
      <c r="C81" s="171"/>
      <c r="D81" s="177">
        <v>0.05</v>
      </c>
      <c r="E81" s="47">
        <f>IF($E$25="","",($D$81*($E$25+$E$50+$E$59+$E$70+$E$75+$E$78+$E$82)/(1-SUM($D$79:$D$81))))</f>
        <v>487.37946767172286</v>
      </c>
      <c r="F81" s="34"/>
      <c r="H81" s="1"/>
      <c r="I81" s="1"/>
      <c r="J81" s="1"/>
      <c r="O81" s="66"/>
      <c r="P81" s="1"/>
      <c r="Q81" s="1"/>
      <c r="R81" s="36"/>
      <c r="S81" s="1"/>
    </row>
    <row r="82" spans="2:19" ht="14.25" customHeight="1" thickBot="1">
      <c r="B82" s="170" t="s">
        <v>58</v>
      </c>
      <c r="C82" s="171"/>
      <c r="D82" s="177">
        <v>0.01</v>
      </c>
      <c r="E82" s="47">
        <f>IF($E$25="","",($E$25+$E$50+$E$59+$E$70+$E$75+$E$78)*$D$82)</f>
        <v>88.162602716459176</v>
      </c>
      <c r="F82" s="34"/>
      <c r="H82" s="1"/>
      <c r="I82" s="1"/>
      <c r="J82" s="1"/>
      <c r="O82" s="66"/>
      <c r="P82" s="1"/>
      <c r="Q82" s="1"/>
      <c r="R82" s="36"/>
      <c r="S82" s="1"/>
    </row>
    <row r="83" spans="2:19" ht="14.25" customHeight="1" thickBot="1">
      <c r="B83" s="460" t="s">
        <v>59</v>
      </c>
      <c r="C83" s="461"/>
      <c r="D83" s="462"/>
      <c r="E83" s="50">
        <f>IF(E25="","",SUM($E$78:$E$82))</f>
        <v>1126.9371121541028</v>
      </c>
      <c r="F83" s="31"/>
      <c r="H83" s="1"/>
      <c r="I83" s="1"/>
      <c r="J83" s="1"/>
      <c r="K83" s="75"/>
      <c r="L83" s="74"/>
      <c r="O83" s="66"/>
      <c r="P83" s="1"/>
      <c r="Q83" s="1"/>
      <c r="R83" s="36"/>
      <c r="S83" s="1"/>
    </row>
    <row r="84" spans="2:19" ht="14.25" customHeight="1" thickBot="1">
      <c r="H84" s="1"/>
      <c r="I84" s="1"/>
      <c r="K84" s="75"/>
      <c r="O84" s="66"/>
      <c r="P84" s="1"/>
      <c r="Q84" s="1"/>
      <c r="R84" s="1"/>
      <c r="S84" s="1"/>
    </row>
    <row r="85" spans="2:19" ht="14.25" customHeight="1" thickBot="1">
      <c r="B85" s="463" t="s">
        <v>60</v>
      </c>
      <c r="C85" s="464"/>
      <c r="D85" s="464"/>
      <c r="E85" s="51">
        <f>IF(E25="","",$E$25+$E$50+$E$59+$E$70+$E$75+$E$83)</f>
        <v>9747.5893534344559</v>
      </c>
      <c r="F85" s="31"/>
      <c r="H85" s="286"/>
      <c r="I85" s="306"/>
      <c r="J85" s="1"/>
      <c r="K85" s="73"/>
      <c r="O85" s="66"/>
      <c r="P85" s="1"/>
      <c r="Q85" s="1"/>
      <c r="R85" s="1"/>
      <c r="S85" s="1"/>
    </row>
    <row r="86" spans="2:19" ht="14.25" customHeight="1" thickBot="1">
      <c r="H86" s="1"/>
      <c r="I86" s="1"/>
      <c r="O86" s="67"/>
    </row>
    <row r="87" spans="2:19" ht="14.25" customHeight="1" thickBot="1">
      <c r="B87" s="452" t="s">
        <v>61</v>
      </c>
      <c r="C87" s="453"/>
      <c r="D87" s="453"/>
      <c r="E87" s="52">
        <f>IF(E25="","",E85*E12)</f>
        <v>19495.178706868912</v>
      </c>
      <c r="F87" s="31"/>
      <c r="O87" s="67"/>
    </row>
    <row r="88" spans="2:19" ht="14.25" customHeight="1">
      <c r="B88" s="174"/>
      <c r="C88" s="174"/>
      <c r="D88" s="53"/>
      <c r="E88" s="54"/>
      <c r="F88" s="55"/>
      <c r="G88" s="54"/>
      <c r="H88" s="54"/>
      <c r="O88" s="67"/>
    </row>
    <row r="89" spans="2:19" ht="14.25" customHeight="1">
      <c r="B89" s="3" t="s">
        <v>62</v>
      </c>
      <c r="D89" s="180">
        <f>IF(E25="","-",E85/E25)</f>
        <v>2.0695763982584876</v>
      </c>
      <c r="E89" s="3" t="str">
        <f>IF(E25="","a ser calculado",IF(D89&lt;=2.7,"OK","Superior a 2,7 --- Reavaliar planilha"))</f>
        <v>OK</v>
      </c>
      <c r="O89" s="67"/>
    </row>
    <row r="90" spans="2:19" ht="14.25" customHeight="1">
      <c r="B90" s="436" t="s">
        <v>181</v>
      </c>
      <c r="C90" s="436"/>
      <c r="D90" s="436"/>
      <c r="E90" s="436"/>
      <c r="F90" s="436"/>
      <c r="O90" s="67"/>
    </row>
    <row r="91" spans="2:19" ht="14.25" customHeight="1">
      <c r="O91" s="67"/>
    </row>
    <row r="92" spans="2:19" ht="14.25" customHeight="1">
      <c r="O92" s="67"/>
    </row>
    <row r="93" spans="2:19" ht="14.25" customHeight="1">
      <c r="O93" s="67"/>
      <c r="P93" s="65"/>
    </row>
    <row r="94" spans="2:19" ht="14.25" customHeight="1">
      <c r="P94" s="65"/>
    </row>
    <row r="96" spans="2:19" ht="14.25" customHeight="1">
      <c r="L96" s="65"/>
    </row>
  </sheetData>
  <sheetProtection formatColumns="0" formatRows="0"/>
  <mergeCells count="52">
    <mergeCell ref="B77:E77"/>
    <mergeCell ref="B83:D83"/>
    <mergeCell ref="B85:D85"/>
    <mergeCell ref="B87:D87"/>
    <mergeCell ref="B90:F90"/>
    <mergeCell ref="B75:D75"/>
    <mergeCell ref="I53:I54"/>
    <mergeCell ref="H55:H57"/>
    <mergeCell ref="I55:I57"/>
    <mergeCell ref="B59:D59"/>
    <mergeCell ref="B61:E61"/>
    <mergeCell ref="H66:H68"/>
    <mergeCell ref="I66:I68"/>
    <mergeCell ref="B68:D68"/>
    <mergeCell ref="H53:H54"/>
    <mergeCell ref="B69:D69"/>
    <mergeCell ref="B70:D70"/>
    <mergeCell ref="B72:E72"/>
    <mergeCell ref="B73:D73"/>
    <mergeCell ref="H74:I74"/>
    <mergeCell ref="B44:D44"/>
    <mergeCell ref="B45:D45"/>
    <mergeCell ref="B49:D49"/>
    <mergeCell ref="B50:D50"/>
    <mergeCell ref="B52:E52"/>
    <mergeCell ref="K26:L26"/>
    <mergeCell ref="B27:E27"/>
    <mergeCell ref="B28:E28"/>
    <mergeCell ref="B32:D32"/>
    <mergeCell ref="B33:E33"/>
    <mergeCell ref="H41:H43"/>
    <mergeCell ref="I41:I43"/>
    <mergeCell ref="B42:C42"/>
    <mergeCell ref="B43:E43"/>
    <mergeCell ref="C17:D17"/>
    <mergeCell ref="C18:D18"/>
    <mergeCell ref="B20:E20"/>
    <mergeCell ref="B23:C23"/>
    <mergeCell ref="L23:M23"/>
    <mergeCell ref="B25:D25"/>
    <mergeCell ref="B10:E10"/>
    <mergeCell ref="B11:C11"/>
    <mergeCell ref="B12:C12"/>
    <mergeCell ref="B14:E14"/>
    <mergeCell ref="C15:D15"/>
    <mergeCell ref="C16:D16"/>
    <mergeCell ref="B8:D8"/>
    <mergeCell ref="B2:E2"/>
    <mergeCell ref="B4:E4"/>
    <mergeCell ref="B5:D5"/>
    <mergeCell ref="B6:D6"/>
    <mergeCell ref="B7:D7"/>
  </mergeCells>
  <dataValidations count="7">
    <dataValidation type="list" allowBlank="1" showInputMessage="1" showErrorMessage="1" sqref="H12">
      <formula1>$J$2:$J$3</formula1>
    </dataValidation>
    <dataValidation type="decimal" operator="lessThanOrEqual" allowBlank="1" showInputMessage="1" showErrorMessage="1" errorTitle="Valor inválido" error="Deve ser igual ou inferior a 5,96 (Ref.: IBGE)" sqref="I63">
      <formula1>5.96</formula1>
    </dataValidation>
    <dataValidation type="decimal" operator="lessThanOrEqual" allowBlank="1" showInputMessage="1" showErrorMessage="1" errorTitle="Valor inválido" error="Deve ser igual ou inferior a 5,55 (Ref.: TCU)" sqref="I53">
      <formula1>0.0555</formula1>
    </dataValidation>
    <dataValidation type="decimal" operator="lessThanOrEqual" allowBlank="1" showInputMessage="1" showErrorMessage="1" errorTitle="Valor inválido" error="Deve ser igual ou inferior a 1,50% (Ref.: IBGE)" sqref="I64">
      <formula1>0.015</formula1>
    </dataValidation>
    <dataValidation type="decimal" operator="lessThanOrEqual" allowBlank="1" showInputMessage="1" showErrorMessage="1" errorTitle="Valor inválido" error="Deve ser igual ou inferior a 8,00% (Ref.: IBGE)" sqref="I65">
      <formula1>0.08</formula1>
    </dataValidation>
    <dataValidation type="decimal" operator="lessThanOrEqual" allowBlank="1" showInputMessage="1" showErrorMessage="1" errorTitle="Valor inválido" error="Deve ser igual ou inferior a 2,00% (Ref.: IBGE)" sqref="I66">
      <formula1>0.02</formula1>
    </dataValidation>
    <dataValidation type="decimal" operator="lessThanOrEqual" allowBlank="1" showInputMessage="1" showErrorMessage="1" errorTitle="Valor inválido" error="Máximo aceito = 6%" sqref="D40">
      <formula1>0.06</formula1>
    </dataValidation>
  </dataValidations>
  <pageMargins left="0.25" right="0.25" top="0.75" bottom="0.75" header="0.3" footer="0.3"/>
  <pageSetup paperSize="9" scale="58" orientation="portrait" verticalDpi="30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3"/>
  <sheetViews>
    <sheetView showGridLines="0" view="pageBreakPreview" zoomScale="90" zoomScaleNormal="100" zoomScaleSheetLayoutView="90" workbookViewId="0">
      <selection activeCell="E19" sqref="E19"/>
    </sheetView>
  </sheetViews>
  <sheetFormatPr defaultRowHeight="14.25" customHeight="1"/>
  <cols>
    <col min="1" max="1" width="1.7109375" style="18" customWidth="1"/>
    <col min="2" max="2" width="13.7109375" style="3" customWidth="1"/>
    <col min="3" max="3" width="59.42578125" style="3" customWidth="1"/>
    <col min="4" max="5" width="12.140625" style="3" customWidth="1"/>
    <col min="6" max="6" width="1.7109375" style="17" customWidth="1"/>
    <col min="7" max="7" width="1.7109375" style="18" customWidth="1"/>
    <col min="8" max="8" width="18.28515625" style="18" customWidth="1"/>
    <col min="9" max="9" width="15.42578125" style="18" customWidth="1"/>
    <col min="10" max="10" width="9.140625" style="18" hidden="1" customWidth="1"/>
    <col min="11" max="11" width="17.7109375" style="18" customWidth="1"/>
    <col min="12" max="12" width="11.5703125" style="18" bestFit="1" customWidth="1"/>
    <col min="13" max="15" width="9.140625" style="18"/>
    <col min="16" max="16" width="10.5703125" style="18" bestFit="1" customWidth="1"/>
    <col min="17" max="17" width="13.140625" style="18" customWidth="1"/>
    <col min="18" max="16384" width="9.140625" style="18"/>
  </cols>
  <sheetData>
    <row r="1" spans="2:19" ht="14.25" customHeight="1" thickBot="1"/>
    <row r="2" spans="2:19" s="3" customFormat="1" ht="22.5" customHeight="1" thickBot="1">
      <c r="B2" s="482" t="s">
        <v>84</v>
      </c>
      <c r="C2" s="483"/>
      <c r="D2" s="483"/>
      <c r="E2" s="484"/>
      <c r="G2" s="19"/>
      <c r="J2" s="19" t="s">
        <v>0</v>
      </c>
    </row>
    <row r="3" spans="2:19" ht="14.25" customHeight="1" thickBot="1">
      <c r="J3" s="19" t="s">
        <v>1</v>
      </c>
    </row>
    <row r="4" spans="2:19" ht="14.25" customHeight="1">
      <c r="B4" s="485" t="s">
        <v>63</v>
      </c>
      <c r="C4" s="486"/>
      <c r="D4" s="486"/>
      <c r="E4" s="487"/>
      <c r="J4" s="19"/>
    </row>
    <row r="5" spans="2:19" ht="14.25" customHeight="1">
      <c r="B5" s="488" t="s">
        <v>75</v>
      </c>
      <c r="C5" s="489"/>
      <c r="D5" s="490"/>
      <c r="E5" s="63"/>
      <c r="J5" s="19"/>
    </row>
    <row r="6" spans="2:19" ht="14.25" customHeight="1">
      <c r="B6" s="457" t="s">
        <v>76</v>
      </c>
      <c r="C6" s="458"/>
      <c r="D6" s="459"/>
      <c r="E6" s="9" t="s">
        <v>83</v>
      </c>
      <c r="J6" s="19"/>
    </row>
    <row r="7" spans="2:19" ht="14.25" customHeight="1">
      <c r="B7" s="457" t="s">
        <v>77</v>
      </c>
      <c r="C7" s="458"/>
      <c r="D7" s="459"/>
      <c r="E7" s="9">
        <v>2024</v>
      </c>
      <c r="J7" s="19"/>
    </row>
    <row r="8" spans="2:19" ht="14.25" customHeight="1" thickBot="1">
      <c r="B8" s="479" t="s">
        <v>78</v>
      </c>
      <c r="C8" s="480"/>
      <c r="D8" s="481"/>
      <c r="E8" s="7">
        <v>12</v>
      </c>
      <c r="J8" s="19"/>
    </row>
    <row r="9" spans="2:19" ht="14.25" customHeight="1" thickBot="1">
      <c r="J9" s="19"/>
    </row>
    <row r="10" spans="2:19" ht="14.25" customHeight="1" thickBot="1">
      <c r="B10" s="485" t="s">
        <v>65</v>
      </c>
      <c r="C10" s="486"/>
      <c r="D10" s="486"/>
      <c r="E10" s="487"/>
      <c r="J10" s="19"/>
    </row>
    <row r="11" spans="2:19" s="316" customFormat="1" ht="33" customHeight="1" thickBot="1">
      <c r="B11" s="491" t="s">
        <v>2</v>
      </c>
      <c r="C11" s="492"/>
      <c r="D11" s="319" t="s">
        <v>3</v>
      </c>
      <c r="E11" s="11" t="s">
        <v>4</v>
      </c>
      <c r="F11" s="12"/>
      <c r="H11" s="13" t="s">
        <v>64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2:19" ht="14.25" customHeight="1" thickBot="1">
      <c r="B12" s="493" t="s">
        <v>122</v>
      </c>
      <c r="C12" s="494"/>
      <c r="D12" s="14" t="s">
        <v>94</v>
      </c>
      <c r="E12" s="15">
        <v>2</v>
      </c>
      <c r="F12" s="21"/>
      <c r="H12" s="16" t="s"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2:19" ht="14.25" customHeight="1" thickBot="1">
      <c r="B13" s="22"/>
      <c r="C13" s="22"/>
      <c r="D13" s="22"/>
      <c r="E13" s="22"/>
      <c r="F13" s="2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2:19" ht="14.25" customHeight="1">
      <c r="B14" s="485" t="s">
        <v>70</v>
      </c>
      <c r="C14" s="486"/>
      <c r="D14" s="486"/>
      <c r="E14" s="487"/>
      <c r="F14" s="2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2:19" ht="14.25" customHeight="1">
      <c r="B15" s="5">
        <v>1</v>
      </c>
      <c r="C15" s="495" t="s">
        <v>66</v>
      </c>
      <c r="D15" s="496"/>
      <c r="E15" s="8"/>
      <c r="F15" s="2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2:19" ht="14.25" customHeight="1">
      <c r="B16" s="6">
        <v>2</v>
      </c>
      <c r="C16" s="497" t="s">
        <v>67</v>
      </c>
      <c r="D16" s="498"/>
      <c r="E16" s="80">
        <f>' Desarmada - Noturna 12 x36'!E16</f>
        <v>2723.41</v>
      </c>
      <c r="F16" s="2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14.25" customHeight="1">
      <c r="B17" s="6">
        <v>3</v>
      </c>
      <c r="C17" s="497" t="s">
        <v>68</v>
      </c>
      <c r="D17" s="498"/>
      <c r="E17" s="9" t="s">
        <v>112</v>
      </c>
      <c r="F17" s="2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4.25" customHeight="1" thickBot="1">
      <c r="B18" s="4">
        <v>4</v>
      </c>
      <c r="C18" s="499" t="s">
        <v>69</v>
      </c>
      <c r="D18" s="500"/>
      <c r="E18" s="64">
        <v>45292</v>
      </c>
      <c r="F18" s="2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 thickBot="1">
      <c r="B19" s="22"/>
      <c r="C19" s="22"/>
      <c r="D19" s="22"/>
      <c r="E19" s="22"/>
      <c r="F19" s="23"/>
      <c r="H19" t="s">
        <v>115</v>
      </c>
      <c r="I19" s="331">
        <f>E21+E22</f>
        <v>3540.433</v>
      </c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 thickBot="1">
      <c r="A20" s="24"/>
      <c r="B20" s="515" t="s">
        <v>5</v>
      </c>
      <c r="C20" s="516"/>
      <c r="D20" s="516"/>
      <c r="E20" s="517"/>
      <c r="F20" s="25"/>
      <c r="H20" t="s">
        <v>116</v>
      </c>
      <c r="I20">
        <v>220</v>
      </c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4.25" customHeight="1">
      <c r="A21" s="24"/>
      <c r="B21" s="324" t="s">
        <v>6</v>
      </c>
      <c r="C21" s="325"/>
      <c r="D21" s="326"/>
      <c r="E21" s="327">
        <f>E16</f>
        <v>2723.41</v>
      </c>
      <c r="F21" s="29"/>
      <c r="H21" t="s">
        <v>282</v>
      </c>
      <c r="I21" s="331">
        <f>I19/I20</f>
        <v>16.092877272727272</v>
      </c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4.25" customHeight="1">
      <c r="A22" s="24"/>
      <c r="B22" s="42" t="s">
        <v>111</v>
      </c>
      <c r="C22" s="43"/>
      <c r="D22" s="117">
        <v>0.3</v>
      </c>
      <c r="E22" s="28">
        <f>E21*D22</f>
        <v>817.02299999999991</v>
      </c>
      <c r="F22" s="29"/>
      <c r="H22" t="s">
        <v>283</v>
      </c>
      <c r="I22" s="331">
        <f>I21/2</f>
        <v>8.0464386363636358</v>
      </c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4.25" customHeight="1">
      <c r="A23" s="24"/>
      <c r="B23" s="42" t="s">
        <v>286</v>
      </c>
      <c r="C23" s="43"/>
      <c r="D23" s="117"/>
      <c r="E23" s="28">
        <f>(((E21+E22)+((E21+E22)*50%))/220)*15</f>
        <v>362.08973863636362</v>
      </c>
      <c r="F23" s="31"/>
      <c r="H23"/>
      <c r="I23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4.25" customHeight="1" thickBot="1">
      <c r="B24" s="460" t="s">
        <v>7</v>
      </c>
      <c r="C24" s="461"/>
      <c r="D24" s="462"/>
      <c r="E24" s="30">
        <f>E22+E21+E23</f>
        <v>3902.5227386363636</v>
      </c>
      <c r="H24" t="s">
        <v>284</v>
      </c>
      <c r="I24">
        <v>15</v>
      </c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14.25" customHeight="1" thickBot="1">
      <c r="F25" s="25"/>
      <c r="H25" t="s">
        <v>285</v>
      </c>
      <c r="I25" s="331">
        <f>I24*(I22+I21)</f>
        <v>362.08973863636362</v>
      </c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4.25" customHeight="1" thickBot="1">
      <c r="B26" s="454" t="s">
        <v>8</v>
      </c>
      <c r="C26" s="455"/>
      <c r="D26" s="455"/>
      <c r="E26" s="456"/>
      <c r="F26" s="2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4.25" customHeight="1">
      <c r="B27" s="471" t="s">
        <v>9</v>
      </c>
      <c r="C27" s="472"/>
      <c r="D27" s="472"/>
      <c r="E27" s="473"/>
      <c r="F27" s="3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4.25" customHeight="1">
      <c r="B28" s="313" t="s">
        <v>10</v>
      </c>
      <c r="C28" s="314"/>
      <c r="D28" s="32">
        <f>' Supervisor - Noturna 12 x36h'!D29</f>
        <v>8.3299999999999999E-2</v>
      </c>
      <c r="E28" s="33">
        <f>IF($E$24="","",D28*$E$24)</f>
        <v>325.08014412840907</v>
      </c>
      <c r="F28" s="3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14.25" customHeight="1">
      <c r="B29" s="313" t="s">
        <v>37</v>
      </c>
      <c r="C29" s="314"/>
      <c r="D29" s="32">
        <f>' Supervisor - Noturna 12 x36h'!D30</f>
        <v>8.9300000000000004E-2</v>
      </c>
      <c r="E29" s="33">
        <f>E24*D29</f>
        <v>348.49528056022729</v>
      </c>
      <c r="F29" s="3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4.25" customHeight="1">
      <c r="B30" s="313" t="s">
        <v>277</v>
      </c>
      <c r="C30" s="314"/>
      <c r="D30" s="32">
        <f>' Supervisor - Noturna 12 x36h'!D31</f>
        <v>3.1699999999999999E-2</v>
      </c>
      <c r="E30" s="33">
        <f>E24*D30</f>
        <v>123.70997081477272</v>
      </c>
      <c r="F30" s="3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4.25" customHeight="1" thickBot="1">
      <c r="B31" s="469" t="s">
        <v>11</v>
      </c>
      <c r="C31" s="475"/>
      <c r="D31" s="470"/>
      <c r="E31" s="35">
        <f>IF(E24="","",SUM(E28:E30))</f>
        <v>797.28539550340906</v>
      </c>
      <c r="F31" s="2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4.25" customHeight="1">
      <c r="B32" s="471" t="s">
        <v>12</v>
      </c>
      <c r="C32" s="472"/>
      <c r="D32" s="472"/>
      <c r="E32" s="473"/>
      <c r="F32" s="34"/>
      <c r="H32" s="1"/>
      <c r="I32" s="1"/>
      <c r="J32" s="1"/>
      <c r="K32" s="36"/>
      <c r="L32" s="1"/>
      <c r="M32" s="1"/>
      <c r="N32" s="1"/>
      <c r="O32" s="1"/>
      <c r="P32" s="1"/>
      <c r="Q32" s="1"/>
      <c r="R32" s="1"/>
      <c r="S32" s="1"/>
    </row>
    <row r="33" spans="2:19" ht="14.25" customHeight="1">
      <c r="B33" s="313" t="s">
        <v>13</v>
      </c>
      <c r="C33" s="314"/>
      <c r="D33" s="32">
        <v>0.2</v>
      </c>
      <c r="E33" s="33">
        <f>IF($E$24="","",($E$24+$E$31)*D33)</f>
        <v>939.96162682795466</v>
      </c>
      <c r="F33" s="3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2:19" ht="14.25" customHeight="1">
      <c r="B34" s="313" t="s">
        <v>14</v>
      </c>
      <c r="C34" s="314"/>
      <c r="D34" s="32">
        <v>1.4999999999999999E-2</v>
      </c>
      <c r="E34" s="33">
        <f t="shared" ref="E34:E40" si="0">IF($E$24="","",($E$24+$E$31)*D34)</f>
        <v>70.497122012096597</v>
      </c>
      <c r="F34" s="3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2:19" ht="14.25" customHeight="1">
      <c r="B35" s="313" t="s">
        <v>15</v>
      </c>
      <c r="C35" s="314"/>
      <c r="D35" s="32">
        <v>0.01</v>
      </c>
      <c r="E35" s="33">
        <f t="shared" si="0"/>
        <v>46.998081341397729</v>
      </c>
      <c r="F35" s="34"/>
      <c r="H35" s="1"/>
      <c r="I35" s="1"/>
      <c r="J35" s="1"/>
      <c r="K35" s="1"/>
      <c r="L35" s="77"/>
      <c r="M35" s="1"/>
      <c r="N35" s="1"/>
      <c r="O35" s="1"/>
      <c r="P35" s="1"/>
      <c r="Q35" s="1"/>
      <c r="R35" s="1"/>
      <c r="S35" s="1"/>
    </row>
    <row r="36" spans="2:19" ht="14.25" customHeight="1">
      <c r="B36" s="313" t="s">
        <v>16</v>
      </c>
      <c r="C36" s="314"/>
      <c r="D36" s="32">
        <v>2E-3</v>
      </c>
      <c r="E36" s="33">
        <f t="shared" si="0"/>
        <v>9.3996162682795461</v>
      </c>
      <c r="F36" s="34"/>
      <c r="H36" s="1"/>
      <c r="I36" s="1"/>
      <c r="J36" s="1"/>
      <c r="K36" s="1"/>
      <c r="L36" s="77"/>
      <c r="M36" s="1"/>
      <c r="N36" s="1"/>
      <c r="O36" s="1"/>
      <c r="P36" s="1"/>
      <c r="Q36" s="1"/>
      <c r="R36" s="1"/>
      <c r="S36" s="1"/>
    </row>
    <row r="37" spans="2:19" ht="14.25" customHeight="1">
      <c r="B37" s="313" t="s">
        <v>17</v>
      </c>
      <c r="C37" s="314"/>
      <c r="D37" s="32">
        <v>2.5000000000000001E-2</v>
      </c>
      <c r="E37" s="33">
        <f t="shared" si="0"/>
        <v>117.49520335349433</v>
      </c>
      <c r="F37" s="34"/>
      <c r="H37" s="1"/>
      <c r="I37" s="1"/>
      <c r="J37" s="1"/>
      <c r="K37" s="1"/>
      <c r="L37" s="77"/>
      <c r="M37" s="1"/>
      <c r="N37" s="1"/>
      <c r="O37" s="1"/>
      <c r="P37" s="1"/>
      <c r="Q37" s="1"/>
      <c r="R37" s="1"/>
      <c r="S37" s="1"/>
    </row>
    <row r="38" spans="2:19" ht="14.25" customHeight="1">
      <c r="B38" s="313" t="s">
        <v>18</v>
      </c>
      <c r="C38" s="314"/>
      <c r="D38" s="32">
        <v>0.08</v>
      </c>
      <c r="E38" s="33">
        <f t="shared" si="0"/>
        <v>375.98465073118183</v>
      </c>
      <c r="F38" s="34"/>
      <c r="H38" s="1"/>
      <c r="I38" s="1"/>
      <c r="J38" s="1"/>
      <c r="K38" s="1"/>
      <c r="L38" s="77"/>
      <c r="M38" s="1"/>
      <c r="N38" s="1"/>
      <c r="O38" s="1"/>
      <c r="P38" s="1"/>
      <c r="Q38" s="1"/>
      <c r="R38" s="1"/>
      <c r="S38" s="1"/>
    </row>
    <row r="39" spans="2:19" ht="14.25" customHeight="1">
      <c r="B39" s="313" t="s">
        <v>19</v>
      </c>
      <c r="C39" s="314"/>
      <c r="D39" s="37">
        <f>' Supervisor - Noturna 12 x36h'!D40</f>
        <v>1.4999999999999999E-2</v>
      </c>
      <c r="E39" s="33">
        <f t="shared" si="0"/>
        <v>70.497122012096597</v>
      </c>
      <c r="F39" s="34"/>
      <c r="H39" s="450" t="s">
        <v>23</v>
      </c>
      <c r="I39" s="468">
        <v>15</v>
      </c>
      <c r="J39" s="1"/>
      <c r="K39" s="1"/>
      <c r="L39" s="77"/>
      <c r="M39" s="1"/>
      <c r="N39" s="1"/>
      <c r="O39" s="1"/>
      <c r="P39" s="1"/>
      <c r="Q39" s="1"/>
      <c r="R39" s="1"/>
      <c r="S39" s="1"/>
    </row>
    <row r="40" spans="2:19" ht="14.25" customHeight="1">
      <c r="B40" s="313" t="s">
        <v>20</v>
      </c>
      <c r="C40" s="314"/>
      <c r="D40" s="32">
        <v>6.0000000000000001E-3</v>
      </c>
      <c r="E40" s="33">
        <f t="shared" si="0"/>
        <v>28.198848804838637</v>
      </c>
      <c r="F40" s="31"/>
      <c r="H40" s="450"/>
      <c r="I40" s="468"/>
      <c r="J40" s="1"/>
      <c r="K40" s="1"/>
      <c r="L40" s="77"/>
      <c r="M40" s="1"/>
      <c r="N40" s="1"/>
      <c r="O40" s="1"/>
      <c r="P40" s="1"/>
      <c r="Q40" s="1"/>
      <c r="R40" s="1"/>
      <c r="S40" s="1"/>
    </row>
    <row r="41" spans="2:19" ht="14.25" customHeight="1" thickBot="1">
      <c r="B41" s="469" t="s">
        <v>21</v>
      </c>
      <c r="C41" s="470"/>
      <c r="D41" s="38">
        <f>SUM(D33:D40)</f>
        <v>0.35300000000000009</v>
      </c>
      <c r="E41" s="35">
        <f>IF(E24="","",SUM(E33:E40))</f>
        <v>1659.0322713513399</v>
      </c>
      <c r="F41" s="23"/>
      <c r="H41" s="450"/>
      <c r="I41" s="468"/>
      <c r="J41" s="1"/>
      <c r="K41" s="1"/>
      <c r="L41" s="77"/>
      <c r="M41" s="1"/>
      <c r="N41" s="1"/>
      <c r="O41" s="1"/>
      <c r="P41" s="1"/>
      <c r="Q41" s="1"/>
      <c r="R41" s="1"/>
      <c r="S41" s="1"/>
    </row>
    <row r="42" spans="2:19" ht="14.25" customHeight="1">
      <c r="B42" s="513" t="s">
        <v>22</v>
      </c>
      <c r="C42" s="514"/>
      <c r="D42" s="514"/>
      <c r="E42" s="473"/>
      <c r="F42" s="34"/>
      <c r="H42" s="56" t="s">
        <v>72</v>
      </c>
      <c r="I42" s="114">
        <f>47.37-(47.37*2%)</f>
        <v>46.422599999999996</v>
      </c>
      <c r="J42" s="1"/>
      <c r="K42" s="1"/>
      <c r="L42" s="77"/>
      <c r="M42" s="1"/>
      <c r="N42" s="1"/>
      <c r="O42" s="1"/>
      <c r="P42" s="1"/>
      <c r="Q42" s="1"/>
      <c r="R42" s="1"/>
      <c r="S42" s="1"/>
    </row>
    <row r="43" spans="2:19" ht="14.25" customHeight="1">
      <c r="B43" s="511" t="s">
        <v>24</v>
      </c>
      <c r="C43" s="512"/>
      <c r="D43" s="512"/>
      <c r="E43" s="370">
        <f>I39*I42</f>
        <v>696.33899999999994</v>
      </c>
      <c r="F43" s="34"/>
      <c r="H43" s="56" t="s">
        <v>26</v>
      </c>
      <c r="I43" s="315">
        <v>5.5</v>
      </c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2:19" ht="14.25" customHeight="1">
      <c r="B44" s="511" t="s">
        <v>25</v>
      </c>
      <c r="C44" s="512"/>
      <c r="D44" s="512"/>
      <c r="E44" s="370">
        <f>((I39*I43)*2)-(E21*6%)</f>
        <v>1.5954000000000121</v>
      </c>
      <c r="F44" s="34"/>
      <c r="H44" s="56"/>
      <c r="I44" s="315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2:19" ht="14.25" customHeight="1">
      <c r="B45" s="518" t="s">
        <v>188</v>
      </c>
      <c r="C45" s="519"/>
      <c r="D45" s="520"/>
      <c r="E45" s="370">
        <f>' Supervisor - Noturna 12 x36h'!E46</f>
        <v>10</v>
      </c>
      <c r="F45" s="34"/>
      <c r="H45" s="56"/>
      <c r="I45" s="315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2:19" ht="14.25" customHeight="1">
      <c r="B46" s="521" t="s">
        <v>164</v>
      </c>
      <c r="C46" s="522"/>
      <c r="D46" s="523"/>
      <c r="E46" s="370">
        <v>0</v>
      </c>
      <c r="F46" s="31"/>
      <c r="H46" s="56"/>
      <c r="I46" s="57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2:19" ht="14.25" customHeight="1">
      <c r="B47" s="508" t="s">
        <v>27</v>
      </c>
      <c r="C47" s="509"/>
      <c r="D47" s="509">
        <f>SUM(D43:D44)</f>
        <v>0</v>
      </c>
      <c r="E47" s="371">
        <f>IF(E24="","",SUM(E43:E46))</f>
        <v>707.93439999999998</v>
      </c>
      <c r="F47" s="31"/>
      <c r="H47" s="56"/>
      <c r="I47" s="57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2:19" ht="14.25" customHeight="1" thickBot="1">
      <c r="B48" s="506" t="s">
        <v>28</v>
      </c>
      <c r="C48" s="507"/>
      <c r="D48" s="510"/>
      <c r="E48" s="30">
        <f>IF(E24="","",E31+E41+E47)</f>
        <v>3164.252066854749</v>
      </c>
      <c r="H48" s="56"/>
      <c r="I48" s="57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2:19" ht="14.25" customHeight="1" thickBot="1">
      <c r="F49" s="25"/>
      <c r="H49" s="56"/>
      <c r="I49" s="57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2:19" ht="14.25" customHeight="1" thickBot="1">
      <c r="B50" s="454" t="s">
        <v>29</v>
      </c>
      <c r="C50" s="455"/>
      <c r="D50" s="455"/>
      <c r="E50" s="456"/>
      <c r="F50" s="34"/>
      <c r="H50" s="450" t="s">
        <v>71</v>
      </c>
      <c r="I50" s="451">
        <v>5.5500000000000001E-2</v>
      </c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2:19" ht="14.25" customHeight="1">
      <c r="B51" s="313" t="s">
        <v>30</v>
      </c>
      <c r="C51" s="313"/>
      <c r="D51" s="32">
        <f>' Supervisor - Noturna 12 x36h'!D53</f>
        <v>8.3333333333333328E-4</v>
      </c>
      <c r="E51" s="33">
        <f t="shared" ref="E51:E56" si="1">IF($E$24="","",D51*$E$24)</f>
        <v>3.2521022821969696</v>
      </c>
      <c r="F51" s="34"/>
      <c r="H51" s="450"/>
      <c r="I51" s="45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2:19" ht="14.25" customHeight="1">
      <c r="B52" s="313" t="s">
        <v>31</v>
      </c>
      <c r="C52" s="313"/>
      <c r="D52" s="32">
        <f>' Supervisor - Noturna 12 x36h'!D54</f>
        <v>6.666666666666667E-5</v>
      </c>
      <c r="E52" s="33">
        <f t="shared" si="1"/>
        <v>0.26016818257575758</v>
      </c>
      <c r="F52" s="34"/>
      <c r="H52" s="450" t="s">
        <v>74</v>
      </c>
      <c r="I52" s="468">
        <v>0.9</v>
      </c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2:19" ht="14.25" customHeight="1">
      <c r="B53" s="313" t="s">
        <v>182</v>
      </c>
      <c r="C53" s="313"/>
      <c r="D53" s="178">
        <f>' Supervisor - Noturna 12 x36h'!D55</f>
        <v>3.4000000000000002E-2</v>
      </c>
      <c r="E53" s="33">
        <f t="shared" si="1"/>
        <v>132.68577311363637</v>
      </c>
      <c r="F53" s="34"/>
      <c r="H53" s="450"/>
      <c r="I53" s="468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2:19" ht="14.25" customHeight="1">
      <c r="B54" s="313" t="s">
        <v>33</v>
      </c>
      <c r="C54" s="313"/>
      <c r="D54" s="32">
        <f>' Supervisor - Noturna 12 x36h'!D56</f>
        <v>1.9444444444444446E-4</v>
      </c>
      <c r="E54" s="33">
        <f t="shared" si="1"/>
        <v>0.75882386584595962</v>
      </c>
      <c r="F54" s="34"/>
      <c r="H54" s="450"/>
      <c r="I54" s="468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2:19" ht="14.25" customHeight="1">
      <c r="B55" s="313" t="s">
        <v>34</v>
      </c>
      <c r="C55" s="314"/>
      <c r="D55" s="32">
        <f>' Supervisor - Noturna 12 x36h'!D57</f>
        <v>6.8638888888888916E-5</v>
      </c>
      <c r="E55" s="33">
        <f t="shared" si="1"/>
        <v>0.26786482464362382</v>
      </c>
      <c r="F55" s="34"/>
      <c r="H55" s="56"/>
      <c r="I55" s="56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2:19" ht="14.25" customHeight="1">
      <c r="B56" s="313" t="s">
        <v>184</v>
      </c>
      <c r="C56" s="313"/>
      <c r="D56" s="178">
        <f>' Supervisor - Noturna 12 x36h'!D58</f>
        <v>6.0000000000000001E-3</v>
      </c>
      <c r="E56" s="33">
        <f t="shared" si="1"/>
        <v>23.415136431818183</v>
      </c>
      <c r="F56" s="31"/>
      <c r="H56" s="56"/>
      <c r="I56" s="56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2:19" ht="14.25" customHeight="1" thickBot="1">
      <c r="B57" s="460" t="s">
        <v>35</v>
      </c>
      <c r="C57" s="461"/>
      <c r="D57" s="462"/>
      <c r="E57" s="30">
        <f>IF(E24="","",SUM(E51:E56))</f>
        <v>160.63986870071687</v>
      </c>
      <c r="H57" s="56"/>
      <c r="I57" s="56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2:19" ht="14.25" customHeight="1" thickBot="1">
      <c r="F58" s="25"/>
      <c r="H58" s="56"/>
      <c r="I58" s="56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2:19" ht="14.25" customHeight="1" thickBot="1">
      <c r="B59" s="454" t="s">
        <v>36</v>
      </c>
      <c r="C59" s="455"/>
      <c r="D59" s="455"/>
      <c r="E59" s="456"/>
      <c r="F59" s="34"/>
      <c r="H59" s="56"/>
      <c r="I59" s="56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2:19" ht="14.25" customHeight="1">
      <c r="B60" s="313" t="s">
        <v>37</v>
      </c>
      <c r="C60" s="314"/>
      <c r="D60" s="178">
        <f>' Supervisor - Noturna 12 x36h'!D62</f>
        <v>0</v>
      </c>
      <c r="E60" s="33">
        <f>IF($E$24="","",D60*$E$24)</f>
        <v>0</v>
      </c>
      <c r="F60" s="34"/>
      <c r="H60" s="56" t="s">
        <v>39</v>
      </c>
      <c r="I60" s="315">
        <v>5.96</v>
      </c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2:19" ht="14.25" customHeight="1">
      <c r="B61" s="313" t="s">
        <v>38</v>
      </c>
      <c r="C61" s="314"/>
      <c r="D61" s="32">
        <f>' Supervisor - Noturna 12 x36h'!D63</f>
        <v>1.6444444444444446E-4</v>
      </c>
      <c r="E61" s="33">
        <f>IF($E$24="","",D61*$E$24)</f>
        <v>0.6417481836868687</v>
      </c>
      <c r="F61" s="34"/>
      <c r="H61" s="56" t="s">
        <v>41</v>
      </c>
      <c r="I61" s="312">
        <v>1.4999999999999999E-2</v>
      </c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2:19" ht="14.25" customHeight="1">
      <c r="B62" s="313" t="s">
        <v>40</v>
      </c>
      <c r="C62" s="314"/>
      <c r="D62" s="32">
        <f>' Supervisor - Noturna 12 x36h'!D64</f>
        <v>2.0833333333333332E-4</v>
      </c>
      <c r="E62" s="33">
        <f>IF($E$24="","",D62*$E$24)</f>
        <v>0.8130255705492424</v>
      </c>
      <c r="F62" s="34"/>
      <c r="H62" s="56" t="s">
        <v>73</v>
      </c>
      <c r="I62" s="312">
        <v>0.08</v>
      </c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2:19" ht="14.25" customHeight="1">
      <c r="B63" s="313" t="s">
        <v>42</v>
      </c>
      <c r="C63" s="314"/>
      <c r="D63" s="32">
        <f>' Supervisor - Noturna 12 x36h'!D65</f>
        <v>2.0833333333333332E-4</v>
      </c>
      <c r="E63" s="33">
        <f>IF($E$24="","",D63*$E$24)</f>
        <v>0.8130255705492424</v>
      </c>
      <c r="F63" s="34"/>
      <c r="H63" s="450" t="s">
        <v>44</v>
      </c>
      <c r="I63" s="451">
        <v>0.02</v>
      </c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2:19" ht="14.25" customHeight="1">
      <c r="B64" s="313" t="s">
        <v>43</v>
      </c>
      <c r="C64" s="314"/>
      <c r="D64" s="32">
        <f>' Supervisor - Noturna 12 x36h'!D66</f>
        <v>1.6180555555555555E-4</v>
      </c>
      <c r="E64" s="33">
        <f>IF($E$24="","",D64*$E$24)</f>
        <v>0.63144985979324497</v>
      </c>
      <c r="F64" s="34"/>
      <c r="H64" s="450"/>
      <c r="I64" s="45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2:19" ht="14.25" customHeight="1">
      <c r="B65" s="313" t="s">
        <v>45</v>
      </c>
      <c r="C65" s="314"/>
      <c r="D65" s="32"/>
      <c r="E65" s="33" t="s">
        <v>46</v>
      </c>
      <c r="F65" s="31"/>
      <c r="H65" s="450"/>
      <c r="I65" s="45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2:19" ht="14.25" customHeight="1" thickBot="1">
      <c r="B66" s="469" t="s">
        <v>47</v>
      </c>
      <c r="C66" s="475"/>
      <c r="D66" s="470"/>
      <c r="E66" s="35">
        <f>IF(E24="","",SUM(E60:E65))</f>
        <v>2.8992491845785984</v>
      </c>
      <c r="F66" s="3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2:19" ht="14.25" customHeight="1" thickBot="1">
      <c r="B67" s="501" t="s">
        <v>48</v>
      </c>
      <c r="C67" s="502"/>
      <c r="D67" s="503">
        <f>SUM(D64:D66)</f>
        <v>1.6180555555555555E-4</v>
      </c>
      <c r="E67" s="39">
        <f>IF(E24="","",E66*D41)</f>
        <v>1.0234349621562455</v>
      </c>
      <c r="F67" s="31"/>
      <c r="H67" s="4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2:19" ht="14.25" customHeight="1" thickBot="1">
      <c r="B68" s="465" t="s">
        <v>49</v>
      </c>
      <c r="C68" s="466"/>
      <c r="D68" s="467"/>
      <c r="E68" s="40">
        <f>IF(E24="","",E66+E67)</f>
        <v>3.9226841467348441</v>
      </c>
      <c r="H68" s="4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2:19" ht="14.25" customHeight="1" thickBot="1">
      <c r="F69" s="25"/>
      <c r="H69" s="36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2:19" ht="14.25" customHeight="1" thickBot="1">
      <c r="B70" s="454" t="s">
        <v>50</v>
      </c>
      <c r="C70" s="455"/>
      <c r="D70" s="455"/>
      <c r="E70" s="456"/>
      <c r="F70" s="29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2:19" ht="14.25" customHeight="1">
      <c r="B71" s="457" t="s">
        <v>89</v>
      </c>
      <c r="C71" s="458"/>
      <c r="D71" s="459"/>
      <c r="E71" s="96">
        <f>Uniformes!H15</f>
        <v>35.333075000000001</v>
      </c>
      <c r="F71" s="29"/>
      <c r="H71" s="474"/>
      <c r="I71" s="474"/>
      <c r="J71" s="1"/>
      <c r="O71" s="1"/>
      <c r="P71" s="1"/>
      <c r="Q71" s="1"/>
      <c r="R71" s="1"/>
      <c r="S71" s="1"/>
    </row>
    <row r="72" spans="2:19" ht="14.25" customHeight="1">
      <c r="B72" s="42" t="s">
        <v>51</v>
      </c>
      <c r="C72" s="43"/>
      <c r="D72" s="44"/>
      <c r="E72" s="179">
        <f>Equipamentos!H19+Equipamentos!H10</f>
        <v>31.578116874999999</v>
      </c>
      <c r="F72" s="31"/>
      <c r="H72" s="1"/>
      <c r="I72" s="1"/>
      <c r="J72" s="1"/>
      <c r="O72" s="1"/>
      <c r="P72" s="1"/>
      <c r="Q72" s="1"/>
      <c r="R72" s="1"/>
      <c r="S72" s="1"/>
    </row>
    <row r="73" spans="2:19" ht="14.25" customHeight="1" thickBot="1">
      <c r="B73" s="460" t="s">
        <v>52</v>
      </c>
      <c r="C73" s="461"/>
      <c r="D73" s="462"/>
      <c r="E73" s="30">
        <f>IF(E24="","",SUM(E71:E72))</f>
        <v>66.911191875</v>
      </c>
      <c r="H73" s="1"/>
      <c r="I73" s="1"/>
      <c r="J73" s="1"/>
      <c r="O73" s="66"/>
      <c r="P73" s="1"/>
      <c r="Q73" s="1"/>
      <c r="R73" s="1"/>
      <c r="S73" s="1"/>
    </row>
    <row r="74" spans="2:19" ht="14.25" customHeight="1" thickBot="1">
      <c r="F74" s="25"/>
      <c r="H74" s="1"/>
      <c r="I74" s="1"/>
      <c r="J74" s="1"/>
      <c r="O74" s="66"/>
      <c r="P74" s="1"/>
      <c r="Q74" s="1"/>
      <c r="R74" s="1"/>
      <c r="S74" s="1"/>
    </row>
    <row r="75" spans="2:19" ht="14.25" customHeight="1" thickBot="1">
      <c r="B75" s="454" t="s">
        <v>53</v>
      </c>
      <c r="C75" s="455"/>
      <c r="D75" s="455"/>
      <c r="E75" s="456"/>
      <c r="F75" s="34"/>
      <c r="I75" s="1"/>
      <c r="J75" s="1"/>
      <c r="O75" s="66"/>
      <c r="P75" s="1"/>
      <c r="Q75" s="1"/>
      <c r="R75" s="36"/>
      <c r="S75" s="1"/>
    </row>
    <row r="76" spans="2:19" ht="14.25" customHeight="1" thickBot="1">
      <c r="B76" s="45" t="s">
        <v>54</v>
      </c>
      <c r="C76" s="46"/>
      <c r="D76" s="177">
        <v>2.1562523E-2</v>
      </c>
      <c r="E76" s="47">
        <f>IF($E$24="","",($E$24+$E$48+$E$57+$E$68+$E$73)*$D$76)</f>
        <v>157.36865222369664</v>
      </c>
      <c r="F76" s="34"/>
      <c r="H76" s="1"/>
      <c r="I76" s="1"/>
      <c r="J76" s="1"/>
      <c r="O76" s="66"/>
      <c r="P76" s="1"/>
      <c r="Q76" s="1"/>
      <c r="R76" s="1"/>
      <c r="S76" s="1"/>
    </row>
    <row r="77" spans="2:19" ht="14.25" customHeight="1" thickBot="1">
      <c r="B77" s="48" t="s">
        <v>55</v>
      </c>
      <c r="C77" s="49"/>
      <c r="D77" s="156">
        <v>0.03</v>
      </c>
      <c r="E77" s="47">
        <f>IF($E$24="","",($D$77*($E$24+$E$48+$E$57+$E$68+$E$73+$E$76+$E$80)/(1-SUM($D$77:$D$79))))</f>
        <v>247.29633413667105</v>
      </c>
      <c r="F77" s="34"/>
      <c r="H77" s="1"/>
      <c r="I77" s="1"/>
      <c r="J77" s="1"/>
      <c r="O77" s="66"/>
      <c r="P77" s="1"/>
      <c r="Q77" s="1"/>
      <c r="R77" s="36"/>
      <c r="S77" s="1"/>
    </row>
    <row r="78" spans="2:19" ht="14.25" customHeight="1" thickBot="1">
      <c r="B78" s="313" t="s">
        <v>56</v>
      </c>
      <c r="C78" s="314"/>
      <c r="D78" s="156">
        <v>6.4999999999999997E-3</v>
      </c>
      <c r="E78" s="47">
        <f>IF($E$24="","",($D$78*($E$24+$E$48+$E$57+$E$68+$E$73+$E$76+$E$80)/(1-SUM($D$77:$D$79))))</f>
        <v>53.580872396278728</v>
      </c>
      <c r="F78" s="34"/>
      <c r="H78" s="1"/>
      <c r="I78" s="1"/>
      <c r="J78" s="1"/>
      <c r="O78" s="66"/>
      <c r="P78" s="1"/>
      <c r="Q78" s="1"/>
      <c r="R78" s="36"/>
      <c r="S78" s="1"/>
    </row>
    <row r="79" spans="2:19" ht="14.25" customHeight="1" thickBot="1">
      <c r="B79" s="313" t="s">
        <v>57</v>
      </c>
      <c r="C79" s="314"/>
      <c r="D79" s="177">
        <v>0.05</v>
      </c>
      <c r="E79" s="47">
        <f>IF($E$24="","",($D$79*($E$24+$E$48+$E$57+$E$68+$E$73+$E$76+$E$80)/(1-SUM($D$77:$D$79))))</f>
        <v>412.16055689445182</v>
      </c>
      <c r="F79" s="34"/>
      <c r="H79" s="1"/>
      <c r="I79" s="1"/>
      <c r="J79" s="1"/>
      <c r="O79" s="66"/>
      <c r="P79" s="1"/>
      <c r="Q79" s="1"/>
      <c r="R79" s="36"/>
      <c r="S79" s="1"/>
    </row>
    <row r="80" spans="2:19" ht="14.25" customHeight="1" thickBot="1">
      <c r="B80" s="313" t="s">
        <v>58</v>
      </c>
      <c r="C80" s="314"/>
      <c r="D80" s="177">
        <v>0.01</v>
      </c>
      <c r="E80" s="47">
        <f>IF($E$24="","",($E$24+$E$48+$E$57+$E$68+$E$73+$E$76)*$D$80)</f>
        <v>74.556172024372614</v>
      </c>
      <c r="F80" s="31"/>
      <c r="H80" s="1"/>
      <c r="I80" s="1"/>
      <c r="J80" s="1"/>
      <c r="O80" s="66"/>
      <c r="P80" s="1"/>
      <c r="Q80" s="1"/>
      <c r="R80" s="36"/>
      <c r="S80" s="1"/>
    </row>
    <row r="81" spans="2:19" ht="14.25" customHeight="1" thickBot="1">
      <c r="B81" s="460" t="s">
        <v>59</v>
      </c>
      <c r="C81" s="461"/>
      <c r="D81" s="462"/>
      <c r="E81" s="50">
        <f>IF(E24="","",SUM($E$76:$E$80))</f>
        <v>944.9625876754709</v>
      </c>
      <c r="H81" s="1"/>
      <c r="I81" s="1"/>
      <c r="K81" s="75"/>
      <c r="L81" s="74"/>
      <c r="O81" s="66"/>
      <c r="P81" s="1"/>
      <c r="Q81" s="1"/>
      <c r="R81" s="1"/>
      <c r="S81" s="1"/>
    </row>
    <row r="82" spans="2:19" ht="14.25" customHeight="1" thickBot="1">
      <c r="F82" s="31"/>
      <c r="H82" s="286"/>
      <c r="I82" s="306"/>
      <c r="J82" s="1"/>
      <c r="K82" s="75"/>
      <c r="O82" s="66"/>
      <c r="P82" s="1"/>
      <c r="Q82" s="1"/>
      <c r="R82" s="1"/>
      <c r="S82" s="1"/>
    </row>
    <row r="83" spans="2:19" ht="14.25" customHeight="1" thickBot="1">
      <c r="B83" s="463" t="s">
        <v>60</v>
      </c>
      <c r="C83" s="464"/>
      <c r="D83" s="464"/>
      <c r="E83" s="51">
        <f>E24+E48+E57+E68+E73+E81</f>
        <v>8243.2111378890368</v>
      </c>
      <c r="H83" s="1"/>
      <c r="I83" s="1"/>
      <c r="K83" s="73"/>
      <c r="O83" s="67"/>
    </row>
    <row r="84" spans="2:19" ht="14.25" customHeight="1" thickBot="1">
      <c r="F84" s="31"/>
      <c r="O84" s="67"/>
    </row>
    <row r="85" spans="2:19" ht="14.25" customHeight="1" thickBot="1">
      <c r="B85" s="452" t="s">
        <v>61</v>
      </c>
      <c r="C85" s="453"/>
      <c r="D85" s="453"/>
      <c r="E85" s="52">
        <f>E83*E12</f>
        <v>16486.422275778074</v>
      </c>
      <c r="F85" s="55"/>
      <c r="G85" s="54"/>
      <c r="H85" s="54"/>
      <c r="O85" s="67"/>
    </row>
    <row r="86" spans="2:19" ht="14.25" customHeight="1">
      <c r="B86" s="316"/>
      <c r="C86" s="316"/>
      <c r="D86" s="53"/>
      <c r="E86" s="54"/>
      <c r="O86" s="67"/>
    </row>
    <row r="87" spans="2:19" ht="14.25" customHeight="1">
      <c r="B87" s="3" t="s">
        <v>62</v>
      </c>
      <c r="D87" s="180">
        <f>IF(E24="","-",E83/E24)</f>
        <v>2.1122775419802973</v>
      </c>
      <c r="E87" s="3" t="str">
        <f>IF(E24="","a ser calculado",IF(D87&lt;=2.7,"OK","Superior a 2,7 --- Reavaliar planilha"))</f>
        <v>OK</v>
      </c>
      <c r="O87" s="67"/>
    </row>
    <row r="88" spans="2:19" ht="14.25" customHeight="1">
      <c r="B88" s="436" t="s">
        <v>181</v>
      </c>
      <c r="C88" s="436"/>
      <c r="D88" s="436"/>
      <c r="E88" s="436"/>
      <c r="O88" s="67"/>
    </row>
    <row r="89" spans="2:19" ht="14.25" customHeight="1">
      <c r="O89" s="67"/>
    </row>
    <row r="90" spans="2:19" ht="14.25" customHeight="1">
      <c r="O90" s="67"/>
      <c r="P90" s="65"/>
    </row>
    <row r="91" spans="2:19" ht="14.25" customHeight="1">
      <c r="P91" s="65"/>
    </row>
    <row r="93" spans="2:19" ht="14.25" customHeight="1">
      <c r="L93" s="65"/>
    </row>
  </sheetData>
  <sheetProtection formatColumns="0" formatRows="0"/>
  <mergeCells count="51">
    <mergeCell ref="B45:D45"/>
    <mergeCell ref="B46:D46"/>
    <mergeCell ref="C17:D17"/>
    <mergeCell ref="C16:D16"/>
    <mergeCell ref="B2:E2"/>
    <mergeCell ref="B4:E4"/>
    <mergeCell ref="B5:D5"/>
    <mergeCell ref="B6:D6"/>
    <mergeCell ref="B7:D7"/>
    <mergeCell ref="B8:D8"/>
    <mergeCell ref="B10:E10"/>
    <mergeCell ref="B11:C11"/>
    <mergeCell ref="B12:C12"/>
    <mergeCell ref="B14:E14"/>
    <mergeCell ref="C15:D15"/>
    <mergeCell ref="C18:D18"/>
    <mergeCell ref="B20:E20"/>
    <mergeCell ref="B24:D24"/>
    <mergeCell ref="B26:E26"/>
    <mergeCell ref="H39:H41"/>
    <mergeCell ref="B27:E27"/>
    <mergeCell ref="B31:D31"/>
    <mergeCell ref="B32:E32"/>
    <mergeCell ref="I39:I41"/>
    <mergeCell ref="B41:C41"/>
    <mergeCell ref="B43:D43"/>
    <mergeCell ref="B44:D44"/>
    <mergeCell ref="B42:E42"/>
    <mergeCell ref="B47:D47"/>
    <mergeCell ref="B48:D48"/>
    <mergeCell ref="B50:E50"/>
    <mergeCell ref="B73:D73"/>
    <mergeCell ref="I50:I51"/>
    <mergeCell ref="H52:H54"/>
    <mergeCell ref="I52:I54"/>
    <mergeCell ref="B57:D57"/>
    <mergeCell ref="B59:E59"/>
    <mergeCell ref="H63:H65"/>
    <mergeCell ref="I63:I65"/>
    <mergeCell ref="B66:D66"/>
    <mergeCell ref="H50:H51"/>
    <mergeCell ref="B67:D67"/>
    <mergeCell ref="B68:D68"/>
    <mergeCell ref="B70:E70"/>
    <mergeCell ref="B85:D85"/>
    <mergeCell ref="B88:E88"/>
    <mergeCell ref="B71:D71"/>
    <mergeCell ref="H71:I71"/>
    <mergeCell ref="B75:E75"/>
    <mergeCell ref="B81:D81"/>
    <mergeCell ref="B83:D83"/>
  </mergeCells>
  <dataValidations count="7">
    <dataValidation type="list" allowBlank="1" showInputMessage="1" showErrorMessage="1" sqref="H12">
      <formula1>$J$2:$J$3</formula1>
    </dataValidation>
    <dataValidation type="decimal" operator="lessThanOrEqual" allowBlank="1" showInputMessage="1" showErrorMessage="1" errorTitle="Valor inválido" error="Deve ser igual ou inferior a 5,96 (Ref.: IBGE)" sqref="I60">
      <formula1>5.96</formula1>
    </dataValidation>
    <dataValidation type="decimal" operator="lessThanOrEqual" allowBlank="1" showInputMessage="1" showErrorMessage="1" errorTitle="Valor inválido" error="Deve ser igual ou inferior a 5,55 (Ref.: TCU)" sqref="I50">
      <formula1>0.0555</formula1>
    </dataValidation>
    <dataValidation type="decimal" operator="lessThanOrEqual" allowBlank="1" showInputMessage="1" showErrorMessage="1" errorTitle="Valor inválido" error="Deve ser igual ou inferior a 1,50% (Ref.: IBGE)" sqref="I61">
      <formula1>0.015</formula1>
    </dataValidation>
    <dataValidation type="decimal" operator="lessThanOrEqual" allowBlank="1" showInputMessage="1" showErrorMessage="1" errorTitle="Valor inválido" error="Deve ser igual ou inferior a 8,00% (Ref.: IBGE)" sqref="I62">
      <formula1>0.08</formula1>
    </dataValidation>
    <dataValidation type="decimal" operator="lessThanOrEqual" allowBlank="1" showInputMessage="1" showErrorMessage="1" errorTitle="Valor inválido" error="Deve ser igual ou inferior a 2,00% (Ref.: IBGE)" sqref="I63">
      <formula1>0.02</formula1>
    </dataValidation>
    <dataValidation type="decimal" operator="lessThanOrEqual" allowBlank="1" showInputMessage="1" showErrorMessage="1" errorTitle="Valor inválido" error="Máximo aceito = 6%" sqref="D39">
      <formula1>0.06</formula1>
    </dataValidation>
  </dataValidations>
  <pageMargins left="0.25" right="0.25" top="0.75" bottom="0.75" header="0.3" footer="0.3"/>
  <pageSetup paperSize="9" scale="60" orientation="portrait" verticalDpi="300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1:S93"/>
  <sheetViews>
    <sheetView showGridLines="0" view="pageBreakPreview" zoomScale="90" zoomScaleNormal="100" zoomScaleSheetLayoutView="90" workbookViewId="0">
      <selection activeCell="E19" sqref="E19"/>
    </sheetView>
  </sheetViews>
  <sheetFormatPr defaultRowHeight="14.25" customHeight="1"/>
  <cols>
    <col min="1" max="1" width="1.7109375" style="18" customWidth="1"/>
    <col min="2" max="2" width="13.7109375" style="3" customWidth="1"/>
    <col min="3" max="3" width="59.42578125" style="3" customWidth="1"/>
    <col min="4" max="5" width="12.140625" style="3" customWidth="1"/>
    <col min="6" max="6" width="1.7109375" style="17" customWidth="1"/>
    <col min="7" max="7" width="1.7109375" style="18" customWidth="1"/>
    <col min="8" max="8" width="18.28515625" style="18" customWidth="1"/>
    <col min="9" max="9" width="15.42578125" style="18" customWidth="1"/>
    <col min="10" max="10" width="9.140625" style="18" hidden="1" customWidth="1"/>
    <col min="11" max="11" width="17.7109375" style="18" customWidth="1"/>
    <col min="12" max="12" width="11.5703125" style="18" bestFit="1" customWidth="1"/>
    <col min="13" max="15" width="9.140625" style="18"/>
    <col min="16" max="16" width="10.5703125" style="18" bestFit="1" customWidth="1"/>
    <col min="17" max="17" width="13.140625" style="18" customWidth="1"/>
    <col min="18" max="16384" width="9.140625" style="18"/>
  </cols>
  <sheetData>
    <row r="1" spans="2:19" ht="14.25" customHeight="1" thickBot="1"/>
    <row r="2" spans="2:19" s="3" customFormat="1" ht="22.5" customHeight="1" thickBot="1">
      <c r="B2" s="482" t="s">
        <v>84</v>
      </c>
      <c r="C2" s="483"/>
      <c r="D2" s="483"/>
      <c r="E2" s="484"/>
      <c r="G2" s="19"/>
      <c r="J2" s="19" t="s">
        <v>0</v>
      </c>
    </row>
    <row r="3" spans="2:19" ht="14.25" customHeight="1" thickBot="1">
      <c r="J3" s="19" t="s">
        <v>1</v>
      </c>
    </row>
    <row r="4" spans="2:19" ht="14.25" customHeight="1">
      <c r="B4" s="485" t="s">
        <v>63</v>
      </c>
      <c r="C4" s="486"/>
      <c r="D4" s="486"/>
      <c r="E4" s="487"/>
      <c r="J4" s="19"/>
    </row>
    <row r="5" spans="2:19" ht="14.25" customHeight="1">
      <c r="B5" s="488" t="s">
        <v>75</v>
      </c>
      <c r="C5" s="489"/>
      <c r="D5" s="490"/>
      <c r="E5" s="63"/>
      <c r="J5" s="19"/>
    </row>
    <row r="6" spans="2:19" ht="14.25" customHeight="1">
      <c r="B6" s="457" t="s">
        <v>76</v>
      </c>
      <c r="C6" s="458"/>
      <c r="D6" s="459"/>
      <c r="E6" s="9" t="s">
        <v>83</v>
      </c>
      <c r="J6" s="19"/>
    </row>
    <row r="7" spans="2:19" ht="14.25" customHeight="1">
      <c r="B7" s="457" t="s">
        <v>77</v>
      </c>
      <c r="C7" s="458"/>
      <c r="D7" s="459"/>
      <c r="E7" s="9">
        <v>2024</v>
      </c>
      <c r="J7" s="19"/>
    </row>
    <row r="8" spans="2:19" ht="14.25" customHeight="1" thickBot="1">
      <c r="B8" s="479" t="s">
        <v>78</v>
      </c>
      <c r="C8" s="480"/>
      <c r="D8" s="481"/>
      <c r="E8" s="7">
        <v>12</v>
      </c>
      <c r="J8" s="19"/>
    </row>
    <row r="9" spans="2:19" ht="14.25" customHeight="1" thickBot="1">
      <c r="J9" s="19"/>
    </row>
    <row r="10" spans="2:19" ht="14.25" customHeight="1" thickBot="1">
      <c r="B10" s="485" t="s">
        <v>65</v>
      </c>
      <c r="C10" s="486"/>
      <c r="D10" s="486"/>
      <c r="E10" s="487"/>
      <c r="J10" s="19"/>
    </row>
    <row r="11" spans="2:19" s="2" customFormat="1" ht="33" customHeight="1" thickBot="1">
      <c r="B11" s="491" t="s">
        <v>2</v>
      </c>
      <c r="C11" s="492"/>
      <c r="D11" s="70" t="s">
        <v>3</v>
      </c>
      <c r="E11" s="11" t="s">
        <v>4</v>
      </c>
      <c r="F11" s="12"/>
      <c r="H11" s="13" t="s">
        <v>64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2:19" ht="14.25" customHeight="1" thickBot="1">
      <c r="B12" s="493" t="s">
        <v>122</v>
      </c>
      <c r="C12" s="494"/>
      <c r="D12" s="14" t="s">
        <v>94</v>
      </c>
      <c r="E12" s="15">
        <v>34</v>
      </c>
      <c r="F12" s="21"/>
      <c r="H12" s="16" t="s"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2:19" ht="14.25" customHeight="1" thickBot="1">
      <c r="B13" s="22"/>
      <c r="C13" s="22"/>
      <c r="D13" s="22"/>
      <c r="E13" s="22"/>
      <c r="F13" s="2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2:19" ht="14.25" customHeight="1">
      <c r="B14" s="485" t="s">
        <v>70</v>
      </c>
      <c r="C14" s="486"/>
      <c r="D14" s="486"/>
      <c r="E14" s="487"/>
      <c r="F14" s="2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2:19" ht="14.25" customHeight="1">
      <c r="B15" s="5">
        <v>1</v>
      </c>
      <c r="C15" s="495" t="s">
        <v>66</v>
      </c>
      <c r="D15" s="496"/>
      <c r="E15" s="8"/>
      <c r="F15" s="2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2:19" ht="14.25" customHeight="1">
      <c r="B16" s="6">
        <v>2</v>
      </c>
      <c r="C16" s="497" t="s">
        <v>67</v>
      </c>
      <c r="D16" s="498"/>
      <c r="E16" s="80">
        <f>' Desarmada - Noturna 12 x36'!E16</f>
        <v>2723.41</v>
      </c>
      <c r="F16" s="2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14.25" customHeight="1">
      <c r="B17" s="6">
        <v>3</v>
      </c>
      <c r="C17" s="497" t="s">
        <v>68</v>
      </c>
      <c r="D17" s="498"/>
      <c r="E17" s="9" t="s">
        <v>112</v>
      </c>
      <c r="F17" s="2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4.25" customHeight="1" thickBot="1">
      <c r="B18" s="4">
        <v>4</v>
      </c>
      <c r="C18" s="499" t="s">
        <v>69</v>
      </c>
      <c r="D18" s="500"/>
      <c r="E18" s="64">
        <v>45292</v>
      </c>
      <c r="F18" s="2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 thickBot="1">
      <c r="B19" s="22"/>
      <c r="C19" s="22"/>
      <c r="D19" s="22"/>
      <c r="E19" s="22"/>
      <c r="F19" s="2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24"/>
      <c r="B20" s="476" t="s">
        <v>5</v>
      </c>
      <c r="C20" s="477"/>
      <c r="D20" s="477"/>
      <c r="E20" s="478"/>
      <c r="F20" s="25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4.25" customHeight="1">
      <c r="A21" s="24"/>
      <c r="B21" s="68" t="s">
        <v>6</v>
      </c>
      <c r="C21" s="69"/>
      <c r="D21" s="27"/>
      <c r="E21" s="28">
        <f>E16</f>
        <v>2723.41</v>
      </c>
      <c r="F21" s="29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4.25" customHeight="1">
      <c r="A22" s="24"/>
      <c r="B22" s="42" t="s">
        <v>111</v>
      </c>
      <c r="C22" s="43"/>
      <c r="D22" s="117">
        <v>0.3</v>
      </c>
      <c r="E22" s="110">
        <f>E21*D22</f>
        <v>817.02299999999991</v>
      </c>
      <c r="F22" s="29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4.25" customHeight="1" thickBot="1">
      <c r="A23" s="24"/>
      <c r="B23" s="460" t="s">
        <v>7</v>
      </c>
      <c r="C23" s="461"/>
      <c r="D23" s="462"/>
      <c r="E23" s="30">
        <f>E22+E21</f>
        <v>3540.433</v>
      </c>
      <c r="F23" s="3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4.25" customHeight="1" thickBot="1"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14.25" customHeight="1" thickBot="1">
      <c r="B25" s="454" t="s">
        <v>8</v>
      </c>
      <c r="C25" s="455"/>
      <c r="D25" s="455"/>
      <c r="E25" s="456"/>
      <c r="F25" s="25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4.25" customHeight="1">
      <c r="B26" s="471" t="s">
        <v>9</v>
      </c>
      <c r="C26" s="472"/>
      <c r="D26" s="472"/>
      <c r="E26" s="473"/>
      <c r="F26" s="2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4.25" customHeight="1">
      <c r="B27" s="68" t="s">
        <v>10</v>
      </c>
      <c r="C27" s="69"/>
      <c r="D27" s="32">
        <f>' Supervisor - Noturna 12 x36h'!D29</f>
        <v>8.3299999999999999E-2</v>
      </c>
      <c r="E27" s="33">
        <f>IF($E$23="","",D27*$E$23)</f>
        <v>294.91806889999998</v>
      </c>
      <c r="F27" s="3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4.25" customHeight="1">
      <c r="B28" s="298" t="s">
        <v>37</v>
      </c>
      <c r="C28" s="299"/>
      <c r="D28" s="32">
        <f>' Supervisor - Noturna 12 x36h'!D30</f>
        <v>8.9300000000000004E-2</v>
      </c>
      <c r="E28" s="33">
        <f>E23*D28</f>
        <v>316.16066690000002</v>
      </c>
      <c r="F28" s="3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14.25" customHeight="1">
      <c r="B29" s="298" t="s">
        <v>277</v>
      </c>
      <c r="C29" s="299"/>
      <c r="D29" s="32">
        <f>' Supervisor - Noturna 12 x36h'!D31</f>
        <v>3.1699999999999999E-2</v>
      </c>
      <c r="E29" s="33">
        <f>E23*D29</f>
        <v>112.2317261</v>
      </c>
      <c r="F29" s="3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4.25" customHeight="1" thickBot="1">
      <c r="B30" s="469" t="s">
        <v>11</v>
      </c>
      <c r="C30" s="475"/>
      <c r="D30" s="470"/>
      <c r="E30" s="35">
        <f>IF(E23="","",SUM(E27:E29))</f>
        <v>723.31046190000006</v>
      </c>
      <c r="F30" s="3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4.25" customHeight="1">
      <c r="B31" s="471" t="s">
        <v>12</v>
      </c>
      <c r="C31" s="472"/>
      <c r="D31" s="472"/>
      <c r="E31" s="473"/>
      <c r="F31" s="2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4.25" customHeight="1">
      <c r="B32" s="68" t="s">
        <v>13</v>
      </c>
      <c r="C32" s="69"/>
      <c r="D32" s="32">
        <v>0.2</v>
      </c>
      <c r="E32" s="33">
        <f>IF($E$23="","",($E$23+$E$30)*D32)</f>
        <v>852.74869237999997</v>
      </c>
      <c r="F32" s="34"/>
      <c r="H32" s="1"/>
      <c r="I32" s="1"/>
      <c r="J32" s="1"/>
      <c r="K32" s="36"/>
      <c r="L32" s="1"/>
      <c r="M32" s="1"/>
      <c r="N32" s="1"/>
      <c r="O32" s="1"/>
      <c r="P32" s="1"/>
      <c r="Q32" s="1"/>
      <c r="R32" s="1"/>
      <c r="S32" s="1"/>
    </row>
    <row r="33" spans="2:19" ht="14.25" customHeight="1">
      <c r="B33" s="68" t="s">
        <v>14</v>
      </c>
      <c r="C33" s="69"/>
      <c r="D33" s="32">
        <v>1.4999999999999999E-2</v>
      </c>
      <c r="E33" s="33">
        <f t="shared" ref="E33:E39" si="0">IF($E$23="","",($E$23+$E$30)*D33)</f>
        <v>63.956151928499992</v>
      </c>
      <c r="F33" s="3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2:19" ht="14.25" customHeight="1">
      <c r="B34" s="68" t="s">
        <v>15</v>
      </c>
      <c r="C34" s="69"/>
      <c r="D34" s="32">
        <v>0.01</v>
      </c>
      <c r="E34" s="33">
        <f t="shared" si="0"/>
        <v>42.637434618999997</v>
      </c>
      <c r="F34" s="3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2:19" ht="14.25" customHeight="1">
      <c r="B35" s="68" t="s">
        <v>16</v>
      </c>
      <c r="C35" s="69"/>
      <c r="D35" s="32">
        <v>2E-3</v>
      </c>
      <c r="E35" s="33">
        <f t="shared" si="0"/>
        <v>8.5274869237999997</v>
      </c>
      <c r="F35" s="34"/>
      <c r="H35" s="1"/>
      <c r="I35" s="1"/>
      <c r="J35" s="1"/>
      <c r="K35" s="1"/>
      <c r="L35" s="77"/>
      <c r="M35" s="1"/>
      <c r="N35" s="1"/>
      <c r="O35" s="1"/>
      <c r="P35" s="1"/>
      <c r="Q35" s="1"/>
      <c r="R35" s="1"/>
      <c r="S35" s="1"/>
    </row>
    <row r="36" spans="2:19" ht="14.25" customHeight="1">
      <c r="B36" s="68" t="s">
        <v>17</v>
      </c>
      <c r="C36" s="69"/>
      <c r="D36" s="32">
        <v>2.5000000000000001E-2</v>
      </c>
      <c r="E36" s="33">
        <f t="shared" si="0"/>
        <v>106.5935865475</v>
      </c>
      <c r="F36" s="34"/>
      <c r="H36" s="1"/>
      <c r="I36" s="1"/>
      <c r="J36" s="1"/>
      <c r="K36" s="1"/>
      <c r="L36" s="77"/>
      <c r="M36" s="1"/>
      <c r="N36" s="1"/>
      <c r="O36" s="1"/>
      <c r="P36" s="1"/>
      <c r="Q36" s="1"/>
      <c r="R36" s="1"/>
      <c r="S36" s="1"/>
    </row>
    <row r="37" spans="2:19" ht="14.25" customHeight="1">
      <c r="B37" s="68" t="s">
        <v>18</v>
      </c>
      <c r="C37" s="69"/>
      <c r="D37" s="32">
        <v>0.08</v>
      </c>
      <c r="E37" s="33">
        <f t="shared" si="0"/>
        <v>341.09947695199997</v>
      </c>
      <c r="F37" s="34"/>
      <c r="H37" s="1"/>
      <c r="I37" s="1"/>
      <c r="J37" s="1"/>
      <c r="K37" s="1"/>
      <c r="L37" s="77"/>
      <c r="M37" s="1"/>
      <c r="N37" s="1"/>
      <c r="O37" s="1"/>
      <c r="P37" s="1"/>
      <c r="Q37" s="1"/>
      <c r="R37" s="1"/>
      <c r="S37" s="1"/>
    </row>
    <row r="38" spans="2:19" ht="14.25" customHeight="1">
      <c r="B38" s="68" t="s">
        <v>19</v>
      </c>
      <c r="C38" s="69"/>
      <c r="D38" s="37">
        <f>' Supervisor - Noturna 12 x36h'!D40</f>
        <v>1.4999999999999999E-2</v>
      </c>
      <c r="E38" s="33">
        <f t="shared" si="0"/>
        <v>63.956151928499992</v>
      </c>
      <c r="F38" s="34"/>
      <c r="H38" s="1"/>
      <c r="I38" s="1"/>
      <c r="J38" s="1"/>
      <c r="K38" s="1"/>
      <c r="L38" s="77"/>
      <c r="M38" s="1"/>
      <c r="N38" s="1"/>
      <c r="O38" s="1"/>
      <c r="P38" s="1"/>
      <c r="Q38" s="1"/>
      <c r="R38" s="1"/>
      <c r="S38" s="1"/>
    </row>
    <row r="39" spans="2:19" ht="14.25" customHeight="1">
      <c r="B39" s="68" t="s">
        <v>20</v>
      </c>
      <c r="C39" s="69"/>
      <c r="D39" s="32">
        <v>6.0000000000000001E-3</v>
      </c>
      <c r="E39" s="33">
        <f t="shared" si="0"/>
        <v>25.582460771399997</v>
      </c>
      <c r="F39" s="34"/>
      <c r="H39" s="450" t="s">
        <v>23</v>
      </c>
      <c r="I39" s="468">
        <v>15</v>
      </c>
      <c r="J39" s="1"/>
      <c r="K39" s="1"/>
      <c r="L39" s="77"/>
      <c r="M39" s="1"/>
      <c r="N39" s="1"/>
      <c r="O39" s="1"/>
      <c r="P39" s="1"/>
      <c r="Q39" s="1"/>
      <c r="R39" s="1"/>
      <c r="S39" s="1"/>
    </row>
    <row r="40" spans="2:19" ht="14.25" customHeight="1" thickBot="1">
      <c r="B40" s="524" t="s">
        <v>21</v>
      </c>
      <c r="C40" s="525"/>
      <c r="D40" s="372">
        <f>SUM(D32:D39)</f>
        <v>0.35300000000000009</v>
      </c>
      <c r="E40" s="373">
        <f>IF(E23="","",SUM(E32:E39))</f>
        <v>1505.1014420507001</v>
      </c>
      <c r="F40" s="31"/>
      <c r="H40" s="450"/>
      <c r="I40" s="468"/>
      <c r="J40" s="1"/>
      <c r="K40" s="1"/>
      <c r="L40" s="77"/>
      <c r="M40" s="1"/>
      <c r="N40" s="1"/>
      <c r="O40" s="1"/>
      <c r="P40" s="1"/>
      <c r="Q40" s="1"/>
      <c r="R40" s="1"/>
      <c r="S40" s="1"/>
    </row>
    <row r="41" spans="2:19" ht="14.25" customHeight="1">
      <c r="B41" s="526" t="s">
        <v>22</v>
      </c>
      <c r="C41" s="527"/>
      <c r="D41" s="527"/>
      <c r="E41" s="528"/>
      <c r="F41" s="23"/>
      <c r="H41" s="450"/>
      <c r="I41" s="468"/>
      <c r="J41" s="1"/>
      <c r="K41" s="1"/>
      <c r="L41" s="77"/>
      <c r="M41" s="1"/>
      <c r="N41" s="1"/>
      <c r="O41" s="1"/>
      <c r="P41" s="1"/>
      <c r="Q41" s="1"/>
      <c r="R41" s="1"/>
      <c r="S41" s="1"/>
    </row>
    <row r="42" spans="2:19" ht="14.25" customHeight="1">
      <c r="B42" s="511" t="s">
        <v>24</v>
      </c>
      <c r="C42" s="512"/>
      <c r="D42" s="512"/>
      <c r="E42" s="33">
        <f>I39*I42</f>
        <v>696.33899999999994</v>
      </c>
      <c r="F42" s="34"/>
      <c r="H42" s="56" t="s">
        <v>72</v>
      </c>
      <c r="I42" s="114">
        <f>47.37-(47.37*2%)</f>
        <v>46.422599999999996</v>
      </c>
      <c r="J42" s="1"/>
      <c r="K42" s="1"/>
      <c r="L42" s="77"/>
      <c r="M42" s="1"/>
      <c r="N42" s="1"/>
      <c r="O42" s="1"/>
      <c r="P42" s="1"/>
      <c r="Q42" s="1"/>
      <c r="R42" s="1"/>
      <c r="S42" s="1"/>
    </row>
    <row r="43" spans="2:19" ht="14.25" customHeight="1">
      <c r="B43" s="511" t="s">
        <v>25</v>
      </c>
      <c r="C43" s="512"/>
      <c r="D43" s="512"/>
      <c r="E43" s="33">
        <f>((I39*I43)*2)-(E21*6%)</f>
        <v>1.5954000000000121</v>
      </c>
      <c r="F43" s="34"/>
      <c r="H43" s="56" t="s">
        <v>26</v>
      </c>
      <c r="I43" s="106">
        <v>5.5</v>
      </c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2:19" ht="14.25" customHeight="1">
      <c r="B44" s="518" t="s">
        <v>188</v>
      </c>
      <c r="C44" s="519"/>
      <c r="D44" s="520"/>
      <c r="E44" s="33">
        <f>' Supervisor - Noturna 12 x36h'!E46</f>
        <v>10</v>
      </c>
      <c r="F44" s="34"/>
      <c r="H44" s="56"/>
      <c r="I44" s="145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2:19" ht="14.25" customHeight="1">
      <c r="B45" s="521" t="s">
        <v>164</v>
      </c>
      <c r="C45" s="522"/>
      <c r="D45" s="523"/>
      <c r="E45" s="33">
        <v>0</v>
      </c>
      <c r="F45" s="34"/>
      <c r="H45" s="56"/>
      <c r="I45" s="145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2:19" ht="14.25" customHeight="1">
      <c r="B46" s="508" t="s">
        <v>27</v>
      </c>
      <c r="C46" s="509"/>
      <c r="D46" s="509">
        <f>SUM(D42:D43)</f>
        <v>0</v>
      </c>
      <c r="E46" s="335">
        <f>IF(E23="","",SUM(E42:E45))</f>
        <v>707.93439999999998</v>
      </c>
      <c r="F46" s="31"/>
      <c r="H46" s="56"/>
      <c r="I46" s="57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2:19" ht="14.25" customHeight="1" thickBot="1">
      <c r="B47" s="529" t="s">
        <v>28</v>
      </c>
      <c r="C47" s="530"/>
      <c r="D47" s="530"/>
      <c r="E47" s="374">
        <f>IF(E23="","",E30+E40+E46)</f>
        <v>2936.3463039507005</v>
      </c>
      <c r="F47" s="31"/>
      <c r="H47" s="56"/>
      <c r="I47" s="57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2:19" ht="14.25" customHeight="1" thickBot="1">
      <c r="H48" s="56"/>
      <c r="I48" s="57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2:19" ht="14.25" customHeight="1" thickBot="1">
      <c r="B49" s="454" t="s">
        <v>29</v>
      </c>
      <c r="C49" s="455"/>
      <c r="D49" s="455"/>
      <c r="E49" s="456"/>
      <c r="F49" s="25"/>
      <c r="H49" s="56"/>
      <c r="I49" s="57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2:19" ht="14.25" customHeight="1">
      <c r="B50" s="78" t="s">
        <v>30</v>
      </c>
      <c r="C50" s="78"/>
      <c r="D50" s="32">
        <f>' Supervisor - Noturna 12 x36h'!D53</f>
        <v>8.3333333333333328E-4</v>
      </c>
      <c r="E50" s="33">
        <f t="shared" ref="E50:E55" si="1">IF($E$23="","",D50*$E$23)</f>
        <v>2.9503608333333333</v>
      </c>
      <c r="F50" s="34"/>
      <c r="H50" s="450" t="s">
        <v>71</v>
      </c>
      <c r="I50" s="451">
        <v>5.5500000000000001E-2</v>
      </c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2:19" ht="14.25" customHeight="1">
      <c r="B51" s="78" t="s">
        <v>31</v>
      </c>
      <c r="C51" s="78"/>
      <c r="D51" s="32">
        <f>' Supervisor - Noturna 12 x36h'!D54</f>
        <v>6.666666666666667E-5</v>
      </c>
      <c r="E51" s="33">
        <f t="shared" si="1"/>
        <v>0.23602886666666667</v>
      </c>
      <c r="F51" s="34"/>
      <c r="H51" s="450"/>
      <c r="I51" s="45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2:19" ht="14.25" customHeight="1">
      <c r="B52" s="78" t="s">
        <v>182</v>
      </c>
      <c r="C52" s="78"/>
      <c r="D52" s="178">
        <f>' Supervisor - Noturna 12 x36h'!D55</f>
        <v>3.4000000000000002E-2</v>
      </c>
      <c r="E52" s="33">
        <f t="shared" si="1"/>
        <v>120.37472200000001</v>
      </c>
      <c r="F52" s="34"/>
      <c r="H52" s="450" t="s">
        <v>74</v>
      </c>
      <c r="I52" s="468">
        <v>0.9</v>
      </c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2:19" ht="14.25" customHeight="1">
      <c r="B53" s="78" t="s">
        <v>33</v>
      </c>
      <c r="C53" s="78"/>
      <c r="D53" s="32">
        <f>' Supervisor - Noturna 12 x36h'!D56</f>
        <v>1.9444444444444446E-4</v>
      </c>
      <c r="E53" s="33">
        <f t="shared" si="1"/>
        <v>0.68841752777777787</v>
      </c>
      <c r="F53" s="34"/>
      <c r="H53" s="450"/>
      <c r="I53" s="468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2:19" ht="14.25" customHeight="1">
      <c r="B54" s="78" t="s">
        <v>34</v>
      </c>
      <c r="C54" s="79"/>
      <c r="D54" s="32">
        <f>' Supervisor - Noturna 12 x36h'!D57</f>
        <v>6.8638888888888916E-5</v>
      </c>
      <c r="E54" s="33">
        <f t="shared" si="1"/>
        <v>0.24301138730555566</v>
      </c>
      <c r="F54" s="34"/>
      <c r="H54" s="450"/>
      <c r="I54" s="468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2:19" ht="14.25" customHeight="1">
      <c r="B55" s="78" t="s">
        <v>184</v>
      </c>
      <c r="C55" s="78"/>
      <c r="D55" s="178">
        <f>' Supervisor - Noturna 12 x36h'!D58</f>
        <v>6.0000000000000001E-3</v>
      </c>
      <c r="E55" s="33">
        <f t="shared" si="1"/>
        <v>21.242598000000001</v>
      </c>
      <c r="F55" s="34"/>
      <c r="H55" s="56"/>
      <c r="I55" s="56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2:19" ht="14.25" customHeight="1" thickBot="1">
      <c r="B56" s="460" t="s">
        <v>35</v>
      </c>
      <c r="C56" s="461"/>
      <c r="D56" s="462"/>
      <c r="E56" s="30">
        <f>IF(E23="","",SUM(E50:E55))</f>
        <v>145.73513861508334</v>
      </c>
      <c r="F56" s="31"/>
      <c r="H56" s="56"/>
      <c r="I56" s="56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2:19" ht="14.25" customHeight="1" thickBot="1">
      <c r="H57" s="56"/>
      <c r="I57" s="56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2:19" ht="14.25" customHeight="1" thickBot="1">
      <c r="B58" s="454" t="s">
        <v>36</v>
      </c>
      <c r="C58" s="455"/>
      <c r="D58" s="455"/>
      <c r="E58" s="456"/>
      <c r="F58" s="25"/>
      <c r="H58" s="56"/>
      <c r="I58" s="56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2:19" ht="14.25" customHeight="1">
      <c r="B59" s="68" t="s">
        <v>37</v>
      </c>
      <c r="C59" s="69"/>
      <c r="D59" s="178">
        <f>' Supervisor - Noturna 12 x36h'!D62</f>
        <v>0</v>
      </c>
      <c r="E59" s="33">
        <f>IF($E$23="","",D59*$E$23)</f>
        <v>0</v>
      </c>
      <c r="F59" s="34"/>
      <c r="H59" s="56"/>
      <c r="I59" s="56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2:19" ht="14.25" customHeight="1">
      <c r="B60" s="68" t="s">
        <v>38</v>
      </c>
      <c r="C60" s="69"/>
      <c r="D60" s="32">
        <f>' Supervisor - Noturna 12 x36h'!D63</f>
        <v>1.6444444444444446E-4</v>
      </c>
      <c r="E60" s="33">
        <f>IF($E$23="","",D60*$E$23)</f>
        <v>0.58220453777777781</v>
      </c>
      <c r="F60" s="34"/>
      <c r="H60" s="56" t="s">
        <v>39</v>
      </c>
      <c r="I60" s="83">
        <v>5.96</v>
      </c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2:19" ht="14.25" customHeight="1">
      <c r="B61" s="68" t="s">
        <v>40</v>
      </c>
      <c r="C61" s="69"/>
      <c r="D61" s="32">
        <f>' Supervisor - Noturna 12 x36h'!D64</f>
        <v>2.0833333333333332E-4</v>
      </c>
      <c r="E61" s="33">
        <f>IF($E$23="","",D61*$E$23)</f>
        <v>0.73759020833333333</v>
      </c>
      <c r="F61" s="34"/>
      <c r="H61" s="56" t="s">
        <v>41</v>
      </c>
      <c r="I61" s="82">
        <v>1.4999999999999999E-2</v>
      </c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2:19" ht="14.25" customHeight="1">
      <c r="B62" s="68" t="s">
        <v>42</v>
      </c>
      <c r="C62" s="69"/>
      <c r="D62" s="32">
        <f>' Supervisor - Noturna 12 x36h'!D65</f>
        <v>2.0833333333333332E-4</v>
      </c>
      <c r="E62" s="33">
        <f>IF($E$23="","",D62*$E$23)</f>
        <v>0.73759020833333333</v>
      </c>
      <c r="F62" s="34"/>
      <c r="H62" s="56" t="s">
        <v>73</v>
      </c>
      <c r="I62" s="82">
        <v>0.08</v>
      </c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2:19" ht="14.25" customHeight="1">
      <c r="B63" s="68" t="s">
        <v>43</v>
      </c>
      <c r="C63" s="69"/>
      <c r="D63" s="32">
        <f>' Supervisor - Noturna 12 x36h'!D66</f>
        <v>1.6180555555555555E-4</v>
      </c>
      <c r="E63" s="33">
        <f>IF($E$23="","",D63*$E$23)</f>
        <v>0.57286172847222216</v>
      </c>
      <c r="F63" s="34"/>
      <c r="H63" s="450" t="s">
        <v>44</v>
      </c>
      <c r="I63" s="451">
        <v>0.02</v>
      </c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2:19" ht="14.25" customHeight="1">
      <c r="B64" s="68" t="s">
        <v>45</v>
      </c>
      <c r="C64" s="69"/>
      <c r="D64" s="32"/>
      <c r="E64" s="33" t="s">
        <v>46</v>
      </c>
      <c r="F64" s="34"/>
      <c r="H64" s="450"/>
      <c r="I64" s="45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2:19" ht="14.25" customHeight="1" thickBot="1">
      <c r="B65" s="469" t="s">
        <v>47</v>
      </c>
      <c r="C65" s="475"/>
      <c r="D65" s="470"/>
      <c r="E65" s="35">
        <f>IF(E23="","",SUM(E59:E64))</f>
        <v>2.6302466829166664</v>
      </c>
      <c r="F65" s="31"/>
      <c r="H65" s="450"/>
      <c r="I65" s="45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2:19" ht="14.25" customHeight="1" thickBot="1">
      <c r="B66" s="501" t="s">
        <v>48</v>
      </c>
      <c r="C66" s="502"/>
      <c r="D66" s="503">
        <f>SUM(D63:D65)</f>
        <v>1.6180555555555555E-4</v>
      </c>
      <c r="E66" s="39">
        <f>IF(E23="","",E65*D40)</f>
        <v>0.92847707906958343</v>
      </c>
      <c r="F66" s="3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2:19" ht="14.25" customHeight="1" thickBot="1">
      <c r="B67" s="465" t="s">
        <v>49</v>
      </c>
      <c r="C67" s="466"/>
      <c r="D67" s="467"/>
      <c r="E67" s="40">
        <f>IF(E23="","",E65+E66)</f>
        <v>3.5587237619862497</v>
      </c>
      <c r="F67" s="31"/>
      <c r="H67" s="4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2:19" ht="14.25" customHeight="1" thickBot="1">
      <c r="H68" s="4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2:19" ht="14.25" customHeight="1" thickBot="1">
      <c r="B69" s="454" t="s">
        <v>50</v>
      </c>
      <c r="C69" s="455"/>
      <c r="D69" s="455"/>
      <c r="E69" s="456"/>
      <c r="F69" s="25"/>
      <c r="H69" s="36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2:19" ht="14.25" customHeight="1">
      <c r="B70" s="457" t="s">
        <v>89</v>
      </c>
      <c r="C70" s="458"/>
      <c r="D70" s="459"/>
      <c r="E70" s="96">
        <f>Uniformes!H15</f>
        <v>35.333075000000001</v>
      </c>
      <c r="F70" s="29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2:19" ht="14.25" customHeight="1">
      <c r="B71" s="42" t="s">
        <v>51</v>
      </c>
      <c r="C71" s="43"/>
      <c r="D71" s="44"/>
      <c r="E71" s="179">
        <f>Equipamentos!H19+Equipamentos!H10</f>
        <v>31.578116874999999</v>
      </c>
      <c r="F71" s="29"/>
      <c r="H71" s="474"/>
      <c r="I71" s="474"/>
      <c r="J71" s="1"/>
      <c r="O71" s="1"/>
      <c r="P71" s="1"/>
      <c r="Q71" s="1"/>
      <c r="R71" s="1"/>
      <c r="S71" s="1"/>
    </row>
    <row r="72" spans="2:19" ht="14.25" customHeight="1" thickBot="1">
      <c r="B72" s="460" t="s">
        <v>52</v>
      </c>
      <c r="C72" s="461"/>
      <c r="D72" s="462"/>
      <c r="E72" s="30">
        <f>IF(E23="","",SUM(E70:E71))</f>
        <v>66.911191875</v>
      </c>
      <c r="F72" s="31"/>
      <c r="H72" s="1"/>
      <c r="I72" s="1"/>
      <c r="J72" s="1"/>
      <c r="O72" s="1"/>
      <c r="P72" s="1"/>
      <c r="Q72" s="1"/>
      <c r="R72" s="1"/>
      <c r="S72" s="1"/>
    </row>
    <row r="73" spans="2:19" ht="14.25" customHeight="1" thickBot="1">
      <c r="H73" s="1"/>
      <c r="I73" s="1"/>
      <c r="J73" s="1"/>
      <c r="O73" s="66"/>
      <c r="P73" s="1"/>
      <c r="Q73" s="1"/>
      <c r="R73" s="1"/>
      <c r="S73" s="1"/>
    </row>
    <row r="74" spans="2:19" ht="14.25" customHeight="1" thickBot="1">
      <c r="B74" s="454" t="s">
        <v>53</v>
      </c>
      <c r="C74" s="455"/>
      <c r="D74" s="455"/>
      <c r="E74" s="456"/>
      <c r="F74" s="25"/>
      <c r="H74" s="1"/>
      <c r="I74" s="1"/>
      <c r="J74" s="1"/>
      <c r="O74" s="66"/>
      <c r="P74" s="1"/>
      <c r="Q74" s="1"/>
      <c r="R74" s="1"/>
      <c r="S74" s="1"/>
    </row>
    <row r="75" spans="2:19" ht="14.25" customHeight="1" thickBot="1">
      <c r="B75" s="45" t="s">
        <v>54</v>
      </c>
      <c r="C75" s="46"/>
      <c r="D75" s="177">
        <v>2.1562523E-2</v>
      </c>
      <c r="E75" s="47">
        <f>IF($E$23="","",($E$23+$E$47+$E$56+$E$67+$E$72)*$D$75)</f>
        <v>144.31762916238748</v>
      </c>
      <c r="F75" s="34"/>
      <c r="I75" s="1"/>
      <c r="J75" s="1"/>
      <c r="O75" s="66"/>
      <c r="P75" s="1"/>
      <c r="Q75" s="1"/>
      <c r="R75" s="36"/>
      <c r="S75" s="1"/>
    </row>
    <row r="76" spans="2:19" ht="14.25" customHeight="1" thickBot="1">
      <c r="B76" s="48" t="s">
        <v>55</v>
      </c>
      <c r="C76" s="49"/>
      <c r="D76" s="156">
        <v>0.03</v>
      </c>
      <c r="E76" s="47">
        <f>IF($E$23="","",($D$76*($E$23+$E$47+$E$56+$E$67+$E$72+$E$75+$E$79)/(1-SUM($D$76:$D$78))))</f>
        <v>226.7873565595668</v>
      </c>
      <c r="F76" s="34"/>
      <c r="H76" s="1"/>
      <c r="I76" s="1"/>
      <c r="J76" s="1"/>
      <c r="O76" s="66"/>
      <c r="P76" s="1"/>
      <c r="Q76" s="1"/>
      <c r="R76" s="1"/>
      <c r="S76" s="1"/>
    </row>
    <row r="77" spans="2:19" ht="14.25" customHeight="1" thickBot="1">
      <c r="B77" s="68" t="s">
        <v>56</v>
      </c>
      <c r="C77" s="69"/>
      <c r="D77" s="156">
        <v>6.4999999999999997E-3</v>
      </c>
      <c r="E77" s="47">
        <f>IF($E$23="","",($D$77*($E$23+$E$47+$E$56+$E$67+$E$72+$E$75+$E$79)/(1-SUM($D$76:$D$78))))</f>
        <v>49.137260587906141</v>
      </c>
      <c r="F77" s="34"/>
      <c r="H77" s="1"/>
      <c r="I77" s="1"/>
      <c r="J77" s="1"/>
      <c r="O77" s="66"/>
      <c r="P77" s="1"/>
      <c r="Q77" s="1"/>
      <c r="R77" s="36"/>
      <c r="S77" s="1"/>
    </row>
    <row r="78" spans="2:19" ht="14.25" customHeight="1" thickBot="1">
      <c r="B78" s="68" t="s">
        <v>57</v>
      </c>
      <c r="C78" s="69"/>
      <c r="D78" s="177">
        <v>0.05</v>
      </c>
      <c r="E78" s="47">
        <f>IF($E$23="","",($D$78*($E$23+$E$47+$E$56+$E$67+$E$72+$E$75+$E$79)/(1-SUM($D$76:$D$78))))</f>
        <v>377.97892759927811</v>
      </c>
      <c r="F78" s="34"/>
      <c r="H78" s="1"/>
      <c r="I78" s="1"/>
      <c r="J78" s="1"/>
      <c r="O78" s="66"/>
      <c r="P78" s="1"/>
      <c r="Q78" s="1"/>
      <c r="R78" s="36"/>
      <c r="S78" s="1"/>
    </row>
    <row r="79" spans="2:19" ht="14.25" customHeight="1" thickBot="1">
      <c r="B79" s="68" t="s">
        <v>58</v>
      </c>
      <c r="C79" s="69"/>
      <c r="D79" s="177">
        <v>0.01</v>
      </c>
      <c r="E79" s="47">
        <f>IF($E$23="","",($E$23+$E$47+$E$56+$E$67+$E$72+$E$75)*$D$79)</f>
        <v>68.373019873651586</v>
      </c>
      <c r="F79" s="34"/>
      <c r="H79" s="1"/>
      <c r="I79" s="1"/>
      <c r="J79" s="1"/>
      <c r="O79" s="66"/>
      <c r="P79" s="1"/>
      <c r="Q79" s="1"/>
      <c r="R79" s="36"/>
      <c r="S79" s="1"/>
    </row>
    <row r="80" spans="2:19" ht="14.25" customHeight="1" thickBot="1">
      <c r="B80" s="460" t="s">
        <v>59</v>
      </c>
      <c r="C80" s="461"/>
      <c r="D80" s="462"/>
      <c r="E80" s="50">
        <f>IF(E23="","",SUM($E$75:$E$79))</f>
        <v>866.59419378279017</v>
      </c>
      <c r="F80" s="31"/>
      <c r="H80" s="1"/>
      <c r="I80" s="1"/>
      <c r="J80" s="1"/>
      <c r="O80" s="66"/>
      <c r="P80" s="1"/>
      <c r="Q80" s="1"/>
      <c r="R80" s="36"/>
      <c r="S80" s="1"/>
    </row>
    <row r="81" spans="2:19" ht="14.25" customHeight="1" thickBot="1">
      <c r="H81" s="1"/>
      <c r="I81" s="1"/>
      <c r="K81" s="75"/>
      <c r="L81" s="74"/>
      <c r="O81" s="66"/>
      <c r="P81" s="1"/>
      <c r="Q81" s="1"/>
      <c r="R81" s="1"/>
      <c r="S81" s="1"/>
    </row>
    <row r="82" spans="2:19" ht="14.25" customHeight="1" thickBot="1">
      <c r="B82" s="463" t="s">
        <v>60</v>
      </c>
      <c r="C82" s="464"/>
      <c r="D82" s="464"/>
      <c r="E82" s="51">
        <f>E23+E47+E56+E67+E72+E80</f>
        <v>7559.5785519855608</v>
      </c>
      <c r="F82" s="31"/>
      <c r="H82" s="286"/>
      <c r="I82" s="306"/>
      <c r="J82" s="1"/>
      <c r="K82" s="75"/>
      <c r="O82" s="66"/>
      <c r="P82" s="1"/>
      <c r="Q82" s="1"/>
      <c r="R82" s="1"/>
      <c r="S82" s="1"/>
    </row>
    <row r="83" spans="2:19" ht="14.25" customHeight="1" thickBot="1">
      <c r="H83" s="1"/>
      <c r="I83" s="1"/>
      <c r="K83" s="73"/>
      <c r="O83" s="67"/>
    </row>
    <row r="84" spans="2:19" ht="14.25" customHeight="1" thickBot="1">
      <c r="B84" s="452" t="s">
        <v>61</v>
      </c>
      <c r="C84" s="453"/>
      <c r="D84" s="453"/>
      <c r="E84" s="52">
        <f>E82*E12</f>
        <v>257025.67076750906</v>
      </c>
      <c r="F84" s="31"/>
      <c r="O84" s="67"/>
    </row>
    <row r="85" spans="2:19" ht="14.25" customHeight="1">
      <c r="B85" s="2"/>
      <c r="C85" s="2"/>
      <c r="D85" s="53"/>
      <c r="E85" s="54"/>
      <c r="F85" s="55"/>
      <c r="G85" s="54"/>
      <c r="H85" s="54"/>
      <c r="O85" s="67"/>
    </row>
    <row r="86" spans="2:19" ht="14.25" customHeight="1">
      <c r="B86" s="3" t="s">
        <v>62</v>
      </c>
      <c r="D86" s="180">
        <f>IF(E23="","-",E82/E23)</f>
        <v>2.1352129956944705</v>
      </c>
      <c r="E86" s="3" t="str">
        <f>IF(E23="","a ser calculado",IF(D86&lt;=2.7,"OK","Superior a 2,7 --- Reavaliar planilha"))</f>
        <v>OK</v>
      </c>
      <c r="O86" s="67"/>
    </row>
    <row r="87" spans="2:19" ht="14.25" customHeight="1">
      <c r="B87" s="436" t="s">
        <v>181</v>
      </c>
      <c r="C87" s="436"/>
      <c r="D87" s="436"/>
      <c r="E87" s="436"/>
      <c r="O87" s="67"/>
    </row>
    <row r="88" spans="2:19" ht="14.25" customHeight="1">
      <c r="O88" s="67"/>
    </row>
    <row r="89" spans="2:19" ht="14.25" customHeight="1">
      <c r="O89" s="67"/>
    </row>
    <row r="90" spans="2:19" ht="14.25" customHeight="1">
      <c r="O90" s="67"/>
      <c r="P90" s="65"/>
    </row>
    <row r="91" spans="2:19" ht="14.25" customHeight="1">
      <c r="P91" s="65"/>
    </row>
    <row r="93" spans="2:19" ht="14.25" customHeight="1">
      <c r="L93" s="65"/>
    </row>
  </sheetData>
  <sheetProtection formatColumns="0" formatRows="0"/>
  <mergeCells count="51">
    <mergeCell ref="B87:E87"/>
    <mergeCell ref="B84:D84"/>
    <mergeCell ref="B69:E69"/>
    <mergeCell ref="B70:D70"/>
    <mergeCell ref="B72:D72"/>
    <mergeCell ref="B74:E74"/>
    <mergeCell ref="B80:D80"/>
    <mergeCell ref="B82:D82"/>
    <mergeCell ref="B67:D67"/>
    <mergeCell ref="B49:E49"/>
    <mergeCell ref="H50:H51"/>
    <mergeCell ref="I50:I51"/>
    <mergeCell ref="H52:H54"/>
    <mergeCell ref="I52:I54"/>
    <mergeCell ref="B56:D56"/>
    <mergeCell ref="B58:E58"/>
    <mergeCell ref="H63:H65"/>
    <mergeCell ref="I63:I65"/>
    <mergeCell ref="B65:D65"/>
    <mergeCell ref="B66:D66"/>
    <mergeCell ref="B47:D47"/>
    <mergeCell ref="B25:E25"/>
    <mergeCell ref="B26:E26"/>
    <mergeCell ref="B30:D30"/>
    <mergeCell ref="B31:E31"/>
    <mergeCell ref="B42:D42"/>
    <mergeCell ref="B43:D43"/>
    <mergeCell ref="B46:D46"/>
    <mergeCell ref="B44:D44"/>
    <mergeCell ref="B45:D45"/>
    <mergeCell ref="C16:D16"/>
    <mergeCell ref="C17:D17"/>
    <mergeCell ref="C18:D18"/>
    <mergeCell ref="B20:E20"/>
    <mergeCell ref="B23:D23"/>
    <mergeCell ref="H71:I71"/>
    <mergeCell ref="B14:E14"/>
    <mergeCell ref="B2:E2"/>
    <mergeCell ref="B4:E4"/>
    <mergeCell ref="B5:D5"/>
    <mergeCell ref="B6:D6"/>
    <mergeCell ref="B7:D7"/>
    <mergeCell ref="B8:D8"/>
    <mergeCell ref="B10:E10"/>
    <mergeCell ref="B11:C11"/>
    <mergeCell ref="B12:C12"/>
    <mergeCell ref="H39:H41"/>
    <mergeCell ref="I39:I41"/>
    <mergeCell ref="B40:C40"/>
    <mergeCell ref="B41:E41"/>
    <mergeCell ref="C15:D15"/>
  </mergeCells>
  <dataValidations count="7">
    <dataValidation type="decimal" operator="lessThanOrEqual" allowBlank="1" showInputMessage="1" showErrorMessage="1" errorTitle="Valor inválido" error="Máximo aceito = 6%" sqref="D38">
      <formula1>0.06</formula1>
    </dataValidation>
    <dataValidation type="decimal" operator="lessThanOrEqual" allowBlank="1" showInputMessage="1" showErrorMessage="1" errorTitle="Valor inválido" error="Deve ser igual ou inferior a 2,00% (Ref.: IBGE)" sqref="I63">
      <formula1>0.02</formula1>
    </dataValidation>
    <dataValidation type="decimal" operator="lessThanOrEqual" allowBlank="1" showInputMessage="1" showErrorMessage="1" errorTitle="Valor inválido" error="Deve ser igual ou inferior a 8,00% (Ref.: IBGE)" sqref="I62">
      <formula1>0.08</formula1>
    </dataValidation>
    <dataValidation type="decimal" operator="lessThanOrEqual" allowBlank="1" showInputMessage="1" showErrorMessage="1" errorTitle="Valor inválido" error="Deve ser igual ou inferior a 1,50% (Ref.: IBGE)" sqref="I61">
      <formula1>0.015</formula1>
    </dataValidation>
    <dataValidation type="decimal" operator="lessThanOrEqual" allowBlank="1" showInputMessage="1" showErrorMessage="1" errorTitle="Valor inválido" error="Deve ser igual ou inferior a 5,55 (Ref.: TCU)" sqref="I50">
      <formula1>0.0555</formula1>
    </dataValidation>
    <dataValidation type="decimal" operator="lessThanOrEqual" allowBlank="1" showInputMessage="1" showErrorMessage="1" errorTitle="Valor inválido" error="Deve ser igual ou inferior a 5,96 (Ref.: IBGE)" sqref="I60">
      <formula1>5.96</formula1>
    </dataValidation>
    <dataValidation type="list" allowBlank="1" showInputMessage="1" showErrorMessage="1" sqref="H12">
      <formula1>$J$2:$J$3</formula1>
    </dataValidation>
  </dataValidations>
  <pageMargins left="0.25" right="0.25" top="0.75" bottom="0.75" header="0.3" footer="0.3"/>
  <pageSetup paperSize="9" scale="60" orientation="portrait" verticalDpi="300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5"/>
  <sheetViews>
    <sheetView showGridLines="0" view="pageBreakPreview" zoomScale="90" zoomScaleNormal="100" zoomScaleSheetLayoutView="90" workbookViewId="0">
      <selection activeCell="E25" sqref="E25"/>
    </sheetView>
  </sheetViews>
  <sheetFormatPr defaultRowHeight="14.25" customHeight="1"/>
  <cols>
    <col min="1" max="1" width="1.7109375" style="18" customWidth="1"/>
    <col min="2" max="2" width="13.7109375" style="3" customWidth="1"/>
    <col min="3" max="3" width="59.42578125" style="3" customWidth="1"/>
    <col min="4" max="4" width="12.140625" style="3" customWidth="1"/>
    <col min="5" max="5" width="12.42578125" style="3" bestFit="1" customWidth="1"/>
    <col min="6" max="6" width="1.7109375" style="17" customWidth="1"/>
    <col min="7" max="7" width="7.42578125" style="18" customWidth="1"/>
    <col min="8" max="8" width="19.140625" style="18" customWidth="1"/>
    <col min="9" max="9" width="15.5703125" style="18" customWidth="1"/>
    <col min="10" max="10" width="9.140625" style="18" hidden="1" customWidth="1"/>
    <col min="11" max="11" width="10.28515625" style="18" customWidth="1"/>
    <col min="12" max="12" width="11.5703125" style="18" bestFit="1" customWidth="1"/>
    <col min="13" max="13" width="9.140625" style="18"/>
    <col min="14" max="14" width="11.42578125" style="18" bestFit="1" customWidth="1"/>
    <col min="15" max="15" width="9.140625" style="18"/>
    <col min="16" max="16" width="10.5703125" style="18" bestFit="1" customWidth="1"/>
    <col min="17" max="17" width="13.140625" style="18" customWidth="1"/>
    <col min="18" max="16384" width="9.140625" style="18"/>
  </cols>
  <sheetData>
    <row r="1" spans="2:19" ht="14.25" customHeight="1" thickBot="1"/>
    <row r="2" spans="2:19" s="3" customFormat="1" ht="22.5" customHeight="1" thickBot="1">
      <c r="B2" s="482" t="s">
        <v>84</v>
      </c>
      <c r="C2" s="483"/>
      <c r="D2" s="483"/>
      <c r="E2" s="484"/>
      <c r="G2" s="19"/>
      <c r="J2" s="19" t="s">
        <v>0</v>
      </c>
    </row>
    <row r="3" spans="2:19" ht="14.25" customHeight="1" thickBot="1">
      <c r="J3" s="19" t="s">
        <v>1</v>
      </c>
    </row>
    <row r="4" spans="2:19" ht="14.25" customHeight="1">
      <c r="B4" s="485" t="s">
        <v>63</v>
      </c>
      <c r="C4" s="486"/>
      <c r="D4" s="486"/>
      <c r="E4" s="487"/>
      <c r="J4" s="19"/>
    </row>
    <row r="5" spans="2:19" ht="14.25" customHeight="1">
      <c r="B5" s="488" t="s">
        <v>75</v>
      </c>
      <c r="C5" s="489"/>
      <c r="D5" s="490"/>
      <c r="E5" s="63"/>
      <c r="J5" s="19"/>
    </row>
    <row r="6" spans="2:19" ht="14.25" customHeight="1">
      <c r="B6" s="457" t="s">
        <v>76</v>
      </c>
      <c r="C6" s="458"/>
      <c r="D6" s="459"/>
      <c r="E6" s="9" t="s">
        <v>83</v>
      </c>
      <c r="J6" s="19"/>
    </row>
    <row r="7" spans="2:19" ht="14.25" customHeight="1">
      <c r="B7" s="457" t="s">
        <v>77</v>
      </c>
      <c r="C7" s="458"/>
      <c r="D7" s="459"/>
      <c r="E7" s="9">
        <v>2024</v>
      </c>
      <c r="J7" s="19"/>
    </row>
    <row r="8" spans="2:19" ht="14.25" customHeight="1" thickBot="1">
      <c r="B8" s="479" t="s">
        <v>78</v>
      </c>
      <c r="C8" s="480"/>
      <c r="D8" s="481"/>
      <c r="E8" s="7">
        <v>12</v>
      </c>
      <c r="J8" s="19"/>
    </row>
    <row r="9" spans="2:19" ht="14.25" customHeight="1" thickBot="1">
      <c r="J9" s="19"/>
    </row>
    <row r="10" spans="2:19" ht="14.25" customHeight="1" thickBot="1">
      <c r="B10" s="485" t="s">
        <v>65</v>
      </c>
      <c r="C10" s="486"/>
      <c r="D10" s="486"/>
      <c r="E10" s="487"/>
      <c r="J10" s="19"/>
    </row>
    <row r="11" spans="2:19" s="316" customFormat="1" ht="33" customHeight="1" thickBot="1">
      <c r="B11" s="491" t="s">
        <v>2</v>
      </c>
      <c r="C11" s="492"/>
      <c r="D11" s="319" t="s">
        <v>3</v>
      </c>
      <c r="E11" s="11" t="s">
        <v>4</v>
      </c>
      <c r="F11" s="12"/>
      <c r="H11" s="13" t="s">
        <v>64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2:19" ht="14.25" customHeight="1" thickBot="1">
      <c r="B12" s="493" t="s">
        <v>86</v>
      </c>
      <c r="C12" s="494"/>
      <c r="D12" s="14" t="s">
        <v>94</v>
      </c>
      <c r="E12" s="15">
        <v>2</v>
      </c>
      <c r="F12" s="21"/>
      <c r="H12" s="16" t="s"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2:19" ht="14.25" customHeight="1" thickBot="1">
      <c r="B13" s="22"/>
      <c r="C13" s="22"/>
      <c r="D13" s="22"/>
      <c r="E13" s="22"/>
      <c r="F13" s="2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2:19" ht="14.25" customHeight="1">
      <c r="B14" s="485" t="s">
        <v>70</v>
      </c>
      <c r="C14" s="486"/>
      <c r="D14" s="486"/>
      <c r="E14" s="487"/>
      <c r="F14" s="2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2:19" ht="14.25" customHeight="1">
      <c r="B15" s="5">
        <v>1</v>
      </c>
      <c r="C15" s="495" t="s">
        <v>66</v>
      </c>
      <c r="D15" s="496"/>
      <c r="E15" s="8"/>
      <c r="F15" s="2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2:19" ht="14.25" customHeight="1">
      <c r="B16" s="6">
        <v>2</v>
      </c>
      <c r="C16" s="497" t="s">
        <v>67</v>
      </c>
      <c r="D16" s="498"/>
      <c r="E16" s="80">
        <f>'Armada - Diurna 12 x36 hs'!E16</f>
        <v>2723.41</v>
      </c>
      <c r="F16" s="2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14.25" customHeight="1">
      <c r="B17" s="6">
        <v>3</v>
      </c>
      <c r="C17" s="497" t="s">
        <v>68</v>
      </c>
      <c r="D17" s="498"/>
      <c r="E17" s="9" t="s">
        <v>112</v>
      </c>
      <c r="F17" s="2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4.25" customHeight="1" thickBot="1">
      <c r="B18" s="4">
        <v>4</v>
      </c>
      <c r="C18" s="499" t="s">
        <v>69</v>
      </c>
      <c r="D18" s="500"/>
      <c r="E18" s="64">
        <v>45292</v>
      </c>
      <c r="F18" s="2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 thickBot="1">
      <c r="B19" s="22"/>
      <c r="C19" s="22"/>
      <c r="D19" s="22"/>
      <c r="E19" s="22"/>
      <c r="F19" s="2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 thickBot="1">
      <c r="A20" s="24"/>
      <c r="B20" s="515" t="s">
        <v>5</v>
      </c>
      <c r="C20" s="516"/>
      <c r="D20" s="516"/>
      <c r="E20" s="517"/>
      <c r="F20" s="25"/>
      <c r="H20" t="s">
        <v>115</v>
      </c>
      <c r="I20" s="119">
        <f>E21+E22</f>
        <v>3540.433</v>
      </c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4.25" customHeight="1">
      <c r="A21" s="24"/>
      <c r="B21" s="324" t="s">
        <v>6</v>
      </c>
      <c r="C21" s="325"/>
      <c r="D21" s="326"/>
      <c r="E21" s="327">
        <f>E16</f>
        <v>2723.41</v>
      </c>
      <c r="F21" s="29"/>
      <c r="H21" t="s">
        <v>116</v>
      </c>
      <c r="I21">
        <v>220</v>
      </c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4.25" customHeight="1">
      <c r="A22" s="24"/>
      <c r="B22" s="328" t="s">
        <v>111</v>
      </c>
      <c r="C22" s="321"/>
      <c r="D22" s="32">
        <v>0.3</v>
      </c>
      <c r="E22" s="28">
        <f>E21*D22</f>
        <v>817.02299999999991</v>
      </c>
      <c r="F22" s="29"/>
      <c r="H22" t="s">
        <v>117</v>
      </c>
      <c r="I22" s="120">
        <v>0.2</v>
      </c>
      <c r="J22" s="1"/>
      <c r="K22" s="81"/>
      <c r="L22" s="474"/>
      <c r="M22" s="474"/>
      <c r="N22" s="1"/>
      <c r="O22" s="1"/>
      <c r="P22" s="1"/>
      <c r="Q22" s="1"/>
      <c r="R22" s="1"/>
      <c r="S22" s="1"/>
    </row>
    <row r="23" spans="1:19" ht="14.25" customHeight="1">
      <c r="A23" s="24"/>
      <c r="B23" s="457" t="s">
        <v>123</v>
      </c>
      <c r="C23" s="458"/>
      <c r="D23" s="32">
        <v>0.2</v>
      </c>
      <c r="E23" s="28">
        <f>(((E21+E22)/220)*20%)*(15*7)</f>
        <v>337.95042272727272</v>
      </c>
      <c r="F23" s="29"/>
      <c r="H23" t="s">
        <v>118</v>
      </c>
      <c r="I23">
        <f>60/52.5</f>
        <v>1.1428571428571428</v>
      </c>
      <c r="J23" s="1"/>
      <c r="K23" s="81"/>
      <c r="L23" s="316"/>
      <c r="M23" s="316"/>
      <c r="N23" s="36"/>
      <c r="O23" s="1"/>
      <c r="P23" s="1"/>
      <c r="Q23" s="1"/>
      <c r="R23" s="1"/>
      <c r="S23" s="1"/>
    </row>
    <row r="24" spans="1:19" ht="14.25" customHeight="1">
      <c r="A24" s="24"/>
      <c r="B24" s="328" t="s">
        <v>129</v>
      </c>
      <c r="C24" s="43"/>
      <c r="D24" s="32">
        <v>0.2</v>
      </c>
      <c r="E24" s="28">
        <f>((E21+E22)/220)*D24*15</f>
        <v>48.278631818181822</v>
      </c>
      <c r="F24" s="29"/>
      <c r="H24"/>
      <c r="I24"/>
      <c r="J24" s="1"/>
      <c r="K24" s="81"/>
      <c r="L24" s="316"/>
      <c r="M24" s="316"/>
      <c r="N24" s="1"/>
      <c r="O24" s="1"/>
      <c r="P24" s="1"/>
      <c r="Q24" s="1"/>
      <c r="R24" s="1"/>
      <c r="S24" s="1"/>
    </row>
    <row r="25" spans="1:19" ht="14.25" customHeight="1" thickBot="1">
      <c r="A25" s="24"/>
      <c r="B25" s="317" t="s">
        <v>286</v>
      </c>
      <c r="C25" s="318"/>
      <c r="D25" s="329"/>
      <c r="E25" s="330">
        <f>((((E21+E22)+((E21+E22)*50%))/220)*(60/52.5))*15</f>
        <v>413.81684415584408</v>
      </c>
      <c r="F25" s="31"/>
      <c r="H25" t="s">
        <v>119</v>
      </c>
      <c r="I25">
        <v>7</v>
      </c>
      <c r="J25" s="1"/>
      <c r="K25" s="1"/>
      <c r="L25" s="1"/>
      <c r="M25" s="1"/>
      <c r="N25" s="77"/>
      <c r="O25" s="1"/>
      <c r="P25" s="1"/>
      <c r="Q25" s="1"/>
      <c r="R25" s="1"/>
      <c r="S25" s="1"/>
    </row>
    <row r="26" spans="1:19" ht="14.25" customHeight="1" thickBot="1">
      <c r="B26" s="506" t="s">
        <v>7</v>
      </c>
      <c r="C26" s="507"/>
      <c r="D26" s="510"/>
      <c r="E26" s="30">
        <f>E21+E22+E23+E24+E25</f>
        <v>4340.4788987012989</v>
      </c>
      <c r="H26" t="s">
        <v>120</v>
      </c>
      <c r="I26">
        <v>15</v>
      </c>
      <c r="J26" s="1"/>
      <c r="K26" s="474"/>
      <c r="L26" s="474"/>
      <c r="M26" s="1"/>
      <c r="N26" s="77"/>
      <c r="O26" s="1"/>
      <c r="P26" s="1"/>
      <c r="Q26" s="1"/>
      <c r="R26" s="1"/>
      <c r="S26" s="1"/>
    </row>
    <row r="27" spans="1:19" ht="14.25" customHeight="1" thickBot="1">
      <c r="F27" s="25"/>
      <c r="H27" t="s">
        <v>121</v>
      </c>
      <c r="I27">
        <f>I20/I21*I22*I25*I26*I23</f>
        <v>386.22905454545452</v>
      </c>
      <c r="J27" s="1"/>
      <c r="K27" s="1"/>
      <c r="L27" s="1"/>
      <c r="M27" s="1"/>
      <c r="N27" s="77"/>
      <c r="O27" s="1"/>
      <c r="P27" s="1"/>
      <c r="Q27" s="1"/>
      <c r="R27" s="1"/>
      <c r="S27" s="1"/>
    </row>
    <row r="28" spans="1:19" ht="16.5" customHeight="1" thickBot="1">
      <c r="B28" s="454" t="s">
        <v>8</v>
      </c>
      <c r="C28" s="455"/>
      <c r="D28" s="455"/>
      <c r="E28" s="456"/>
      <c r="F28" s="23"/>
      <c r="H28" s="1"/>
      <c r="I28" s="1"/>
      <c r="J28" s="1"/>
      <c r="K28" s="1"/>
      <c r="L28" s="1"/>
      <c r="M28" s="1"/>
      <c r="N28" s="77"/>
      <c r="O28" s="1"/>
      <c r="P28" s="1"/>
      <c r="Q28" s="1"/>
      <c r="R28" s="1"/>
      <c r="S28" s="1"/>
    </row>
    <row r="29" spans="1:19" ht="22.5" customHeight="1">
      <c r="B29" s="471" t="s">
        <v>9</v>
      </c>
      <c r="C29" s="472"/>
      <c r="D29" s="472"/>
      <c r="E29" s="473"/>
      <c r="F29" s="34"/>
      <c r="H29" s="336" t="s">
        <v>287</v>
      </c>
      <c r="I29" s="331">
        <f>E21+E22</f>
        <v>3540.433</v>
      </c>
      <c r="J29" s="1"/>
      <c r="K29" s="1"/>
      <c r="L29" s="1"/>
      <c r="M29" s="1"/>
      <c r="N29" s="77"/>
      <c r="O29" s="1"/>
      <c r="P29" s="1"/>
      <c r="Q29" s="1"/>
      <c r="R29" s="1"/>
      <c r="S29" s="1"/>
    </row>
    <row r="30" spans="1:19" ht="14.25" customHeight="1">
      <c r="B30" s="313" t="s">
        <v>10</v>
      </c>
      <c r="C30" s="314"/>
      <c r="D30" s="32">
        <f>'Armada - Diurna 12 x36 hs'!D27</f>
        <v>8.3299999999999999E-2</v>
      </c>
      <c r="E30" s="33">
        <f>IF($E$26="","",D30*$E$26)</f>
        <v>361.56189226181817</v>
      </c>
      <c r="F30" s="34"/>
      <c r="H30" t="s">
        <v>116</v>
      </c>
      <c r="I30">
        <v>220</v>
      </c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4.25" customHeight="1">
      <c r="B31" s="313" t="s">
        <v>276</v>
      </c>
      <c r="C31" s="314"/>
      <c r="D31" s="32">
        <f>'ES Memória de Cálculo'!B6</f>
        <v>8.9300000000000004E-2</v>
      </c>
      <c r="E31" s="33">
        <f>E26*D31</f>
        <v>387.60476565402604</v>
      </c>
      <c r="F31" s="34"/>
      <c r="G31" s="305"/>
      <c r="H31" t="s">
        <v>282</v>
      </c>
      <c r="I31" s="331">
        <f>I29/I30</f>
        <v>16.092877272727272</v>
      </c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4.25" customHeight="1">
      <c r="B32" s="313" t="s">
        <v>277</v>
      </c>
      <c r="C32" s="314"/>
      <c r="D32" s="32">
        <f>'ES Memória de Cálculo'!B7</f>
        <v>3.1699999999999999E-2</v>
      </c>
      <c r="E32" s="33">
        <f>E26*D32</f>
        <v>137.59318108883116</v>
      </c>
      <c r="F32" s="31"/>
      <c r="H32" t="s">
        <v>283</v>
      </c>
      <c r="I32" s="331">
        <f>I31/2</f>
        <v>8.0464386363636358</v>
      </c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2:19" ht="14.25" customHeight="1" thickBot="1">
      <c r="B33" s="469" t="s">
        <v>11</v>
      </c>
      <c r="C33" s="475"/>
      <c r="D33" s="470"/>
      <c r="E33" s="35">
        <f>IF(E26="","",SUM(E30:E32))</f>
        <v>886.75983900467531</v>
      </c>
      <c r="F33" s="23"/>
      <c r="H33" t="s">
        <v>118</v>
      </c>
      <c r="I33">
        <f>60/52.5</f>
        <v>1.1428571428571428</v>
      </c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2:19" ht="14.25" customHeight="1">
      <c r="B34" s="471" t="s">
        <v>12</v>
      </c>
      <c r="C34" s="472"/>
      <c r="D34" s="472"/>
      <c r="E34" s="473"/>
      <c r="F34" s="34"/>
      <c r="H34"/>
      <c r="I34"/>
      <c r="J34" s="1"/>
      <c r="K34" s="36"/>
      <c r="L34" s="1"/>
      <c r="M34" s="1"/>
      <c r="N34" s="1"/>
      <c r="O34" s="1"/>
      <c r="P34" s="1"/>
      <c r="Q34" s="1"/>
      <c r="R34" s="1"/>
      <c r="S34" s="1"/>
    </row>
    <row r="35" spans="2:19" ht="14.25" customHeight="1">
      <c r="B35" s="313" t="s">
        <v>13</v>
      </c>
      <c r="C35" s="314"/>
      <c r="D35" s="32">
        <v>0.2</v>
      </c>
      <c r="E35" s="33">
        <f>IF($E$26="","",($E$26+$E$33)*D35)</f>
        <v>1045.4477475411948</v>
      </c>
      <c r="F35" s="34"/>
      <c r="H35" t="s">
        <v>284</v>
      </c>
      <c r="I35">
        <v>15</v>
      </c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2:19" ht="14.25" customHeight="1">
      <c r="B36" s="313" t="s">
        <v>14</v>
      </c>
      <c r="C36" s="314"/>
      <c r="D36" s="32">
        <v>1.4999999999999999E-2</v>
      </c>
      <c r="E36" s="33">
        <f t="shared" ref="E36:E42" si="0">IF($E$26="","",($E$26+$E$33)*D36)</f>
        <v>78.408581065589601</v>
      </c>
      <c r="F36" s="34"/>
      <c r="H36" t="s">
        <v>285</v>
      </c>
      <c r="I36" s="331">
        <f>(I31+I32)*I33*I35</f>
        <v>413.81684415584408</v>
      </c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2:19" ht="14.25" customHeight="1">
      <c r="B37" s="313" t="s">
        <v>15</v>
      </c>
      <c r="C37" s="314"/>
      <c r="D37" s="32">
        <v>0.01</v>
      </c>
      <c r="E37" s="33">
        <f>IF($E$26="","",($E$26+$E$33)*D37)</f>
        <v>52.272387377059744</v>
      </c>
      <c r="F37" s="3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2:19" ht="14.25" customHeight="1">
      <c r="B38" s="313" t="s">
        <v>16</v>
      </c>
      <c r="C38" s="314"/>
      <c r="D38" s="32">
        <v>2E-3</v>
      </c>
      <c r="E38" s="33">
        <f t="shared" si="0"/>
        <v>10.454477475411949</v>
      </c>
      <c r="F38" s="3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2:19" ht="14.25" customHeight="1">
      <c r="B39" s="313" t="s">
        <v>17</v>
      </c>
      <c r="C39" s="314"/>
      <c r="D39" s="32">
        <v>2.5000000000000001E-2</v>
      </c>
      <c r="E39" s="33">
        <f>IF($E$26="","",($E$26+$E$33)*D39)</f>
        <v>130.68096844264934</v>
      </c>
      <c r="F39" s="34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2:19" ht="14.25" customHeight="1">
      <c r="B40" s="313" t="s">
        <v>18</v>
      </c>
      <c r="C40" s="314"/>
      <c r="D40" s="32">
        <v>0.08</v>
      </c>
      <c r="E40" s="33">
        <f t="shared" si="0"/>
        <v>418.17909901647795</v>
      </c>
      <c r="F40" s="34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2:19" ht="14.25" customHeight="1">
      <c r="B41" s="313" t="s">
        <v>19</v>
      </c>
      <c r="C41" s="314"/>
      <c r="D41" s="37">
        <f>'Armada - Diurna 12 x36 hs'!D38</f>
        <v>1.4999999999999999E-2</v>
      </c>
      <c r="E41" s="33">
        <f>IF($E$26="","",($E$26+$E$33)*D41)</f>
        <v>78.408581065589601</v>
      </c>
      <c r="F41" s="34"/>
      <c r="H41" s="450" t="s">
        <v>23</v>
      </c>
      <c r="I41" s="468">
        <v>15</v>
      </c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2:19" ht="14.25" customHeight="1">
      <c r="B42" s="313" t="s">
        <v>20</v>
      </c>
      <c r="C42" s="314"/>
      <c r="D42" s="32">
        <v>6.0000000000000001E-3</v>
      </c>
      <c r="E42" s="33">
        <f t="shared" si="0"/>
        <v>31.363432426235846</v>
      </c>
      <c r="F42" s="31"/>
      <c r="H42" s="450"/>
      <c r="I42" s="468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2:19" ht="14.25" customHeight="1" thickBot="1">
      <c r="B43" s="469" t="s">
        <v>21</v>
      </c>
      <c r="C43" s="470"/>
      <c r="D43" s="38">
        <f>SUM(D35:D42)</f>
        <v>0.35300000000000009</v>
      </c>
      <c r="E43" s="35">
        <f>IF(E26="","",SUM(E35:E42))</f>
        <v>1845.2152744102088</v>
      </c>
      <c r="F43" s="23"/>
      <c r="H43" s="450"/>
      <c r="I43" s="468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2:19" ht="14.25" customHeight="1" thickBot="1">
      <c r="B44" s="513" t="s">
        <v>22</v>
      </c>
      <c r="C44" s="514"/>
      <c r="D44" s="514"/>
      <c r="E44" s="531"/>
      <c r="F44" s="34"/>
      <c r="H44" s="56" t="s">
        <v>72</v>
      </c>
      <c r="I44" s="114">
        <f>47.37-(47.37*2%)</f>
        <v>46.422599999999996</v>
      </c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2:19" ht="14.25" customHeight="1" thickBot="1">
      <c r="B45" s="532" t="s">
        <v>24</v>
      </c>
      <c r="C45" s="533"/>
      <c r="D45" s="534"/>
      <c r="E45" s="333">
        <f>I41*I44</f>
        <v>696.33899999999994</v>
      </c>
      <c r="F45" s="34"/>
      <c r="H45" s="56" t="s">
        <v>26</v>
      </c>
      <c r="I45" s="315">
        <v>5.5</v>
      </c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2:19" ht="14.25" customHeight="1" thickBot="1">
      <c r="B46" s="535" t="s">
        <v>25</v>
      </c>
      <c r="C46" s="536"/>
      <c r="D46" s="537"/>
      <c r="E46" s="33">
        <f>(I45*I41*2)-(E21*6%)</f>
        <v>1.5954000000000121</v>
      </c>
      <c r="F46" s="34"/>
      <c r="H46" s="56"/>
      <c r="I46" s="332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2:19" ht="14.25" customHeight="1" thickBot="1">
      <c r="B47" s="42" t="s">
        <v>188</v>
      </c>
      <c r="C47" s="43"/>
      <c r="D47" s="43"/>
      <c r="E47" s="33">
        <f>'Armada - Diurna 12 x36 hs'!E44</f>
        <v>10</v>
      </c>
      <c r="F47" s="34"/>
      <c r="H47" s="56"/>
      <c r="I47" s="332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2:19" ht="14.25" customHeight="1" thickBot="1">
      <c r="B48" s="334" t="s">
        <v>164</v>
      </c>
      <c r="C48" s="320"/>
      <c r="D48" s="320"/>
      <c r="E48" s="33">
        <v>0</v>
      </c>
      <c r="F48" s="31"/>
      <c r="H48" s="56"/>
      <c r="I48" s="332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2:19" ht="14.25" customHeight="1" thickBot="1">
      <c r="B49" s="469" t="s">
        <v>27</v>
      </c>
      <c r="C49" s="475"/>
      <c r="D49" s="475">
        <f>SUM(D45:D46)</f>
        <v>0</v>
      </c>
      <c r="E49" s="335">
        <f>IF(E26="","",SUM(E45:E48))</f>
        <v>707.93439999999998</v>
      </c>
      <c r="F49" s="31"/>
      <c r="H49" s="56"/>
      <c r="I49" s="57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2:19" ht="14.25" customHeight="1" thickBot="1">
      <c r="B50" s="460" t="s">
        <v>28</v>
      </c>
      <c r="C50" s="461"/>
      <c r="D50" s="462"/>
      <c r="E50" s="30">
        <f>IF(E26="","",E33+E43+E49)</f>
        <v>3439.9095134148843</v>
      </c>
      <c r="H50" s="56"/>
      <c r="I50" s="57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2:19" ht="14.25" customHeight="1" thickBot="1">
      <c r="F51" s="25"/>
      <c r="H51" s="56"/>
      <c r="I51" s="57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2:19" ht="14.25" customHeight="1" thickBot="1">
      <c r="B52" s="454" t="s">
        <v>29</v>
      </c>
      <c r="C52" s="455"/>
      <c r="D52" s="455"/>
      <c r="E52" s="456"/>
      <c r="F52" s="34"/>
      <c r="H52" s="56"/>
      <c r="I52" s="57"/>
      <c r="J52" s="1"/>
      <c r="K52" s="72"/>
      <c r="L52" s="1"/>
      <c r="M52" s="1"/>
      <c r="N52" s="1"/>
      <c r="O52" s="1"/>
      <c r="P52" s="1"/>
      <c r="Q52" s="1"/>
      <c r="R52" s="1"/>
      <c r="S52" s="1"/>
    </row>
    <row r="53" spans="2:19" ht="14.25" customHeight="1">
      <c r="B53" s="313" t="s">
        <v>30</v>
      </c>
      <c r="C53" s="313"/>
      <c r="D53" s="32">
        <f>'Armada - Diurna 12 x36 hs'!D50</f>
        <v>8.3333333333333328E-4</v>
      </c>
      <c r="E53" s="33">
        <f t="shared" ref="E53:E58" si="1">IF($E$26="","",D53*$E$26)</f>
        <v>3.6170657489177489</v>
      </c>
      <c r="F53" s="34"/>
      <c r="H53" s="450" t="s">
        <v>71</v>
      </c>
      <c r="I53" s="451">
        <v>5.5500000000000001E-2</v>
      </c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2:19" ht="14.25" customHeight="1">
      <c r="B54" s="313" t="s">
        <v>31</v>
      </c>
      <c r="C54" s="313"/>
      <c r="D54" s="32">
        <f>'Armada - Diurna 12 x36 hs'!D51</f>
        <v>6.666666666666667E-5</v>
      </c>
      <c r="E54" s="33">
        <f t="shared" si="1"/>
        <v>0.28936525991341994</v>
      </c>
      <c r="F54" s="34"/>
      <c r="H54" s="450"/>
      <c r="I54" s="45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2:19" ht="14.25" customHeight="1">
      <c r="B55" s="313" t="s">
        <v>183</v>
      </c>
      <c r="C55" s="313"/>
      <c r="D55" s="178">
        <f>'Armada - Diurna 12 x36 hs'!D52</f>
        <v>3.4000000000000002E-2</v>
      </c>
      <c r="E55" s="33">
        <f t="shared" si="1"/>
        <v>147.57628255584419</v>
      </c>
      <c r="F55" s="34"/>
      <c r="H55" s="450" t="s">
        <v>74</v>
      </c>
      <c r="I55" s="468">
        <v>0.9</v>
      </c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2:19" ht="14.25" customHeight="1">
      <c r="B56" s="313" t="s">
        <v>33</v>
      </c>
      <c r="C56" s="313"/>
      <c r="D56" s="32">
        <f>'Armada - Diurna 12 x36 hs'!D53</f>
        <v>1.9444444444444446E-4</v>
      </c>
      <c r="E56" s="33">
        <f t="shared" si="1"/>
        <v>0.84398200808080814</v>
      </c>
      <c r="F56" s="34"/>
      <c r="H56" s="450"/>
      <c r="I56" s="468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2:19" ht="14.25" customHeight="1">
      <c r="B57" s="313" t="s">
        <v>34</v>
      </c>
      <c r="C57" s="314"/>
      <c r="D57" s="32">
        <f>'Armada - Diurna 12 x36 hs'!D54</f>
        <v>6.8638888888888916E-5</v>
      </c>
      <c r="E57" s="33">
        <f t="shared" si="1"/>
        <v>0.29792564885252537</v>
      </c>
      <c r="F57" s="34"/>
      <c r="H57" s="450"/>
      <c r="I57" s="468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2:19" ht="14.25" customHeight="1">
      <c r="B58" s="313" t="s">
        <v>185</v>
      </c>
      <c r="C58" s="313"/>
      <c r="D58" s="178">
        <f>'Armada - Diurna 12 x36 hs'!D55</f>
        <v>6.0000000000000001E-3</v>
      </c>
      <c r="E58" s="33">
        <f t="shared" si="1"/>
        <v>26.042873392207795</v>
      </c>
      <c r="F58" s="31"/>
      <c r="H58" s="56"/>
      <c r="I58" s="56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2:19" ht="14.25" customHeight="1" thickBot="1">
      <c r="B59" s="460" t="s">
        <v>35</v>
      </c>
      <c r="C59" s="461"/>
      <c r="D59" s="462"/>
      <c r="E59" s="30">
        <f>IF(E26="","",SUM(E53:E58))</f>
        <v>178.66749461381647</v>
      </c>
      <c r="H59" s="56"/>
      <c r="I59" s="56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2:19" ht="14.25" customHeight="1" thickBot="1">
      <c r="F60" s="25"/>
      <c r="H60" s="56"/>
      <c r="I60" s="56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2:19" ht="14.25" customHeight="1" thickBot="1">
      <c r="B61" s="454" t="s">
        <v>36</v>
      </c>
      <c r="C61" s="455"/>
      <c r="D61" s="455"/>
      <c r="E61" s="456"/>
      <c r="F61" s="34"/>
      <c r="H61" s="56"/>
      <c r="I61" s="56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2:19" ht="14.25" customHeight="1">
      <c r="B62" s="313" t="s">
        <v>37</v>
      </c>
      <c r="C62" s="314"/>
      <c r="D62" s="178">
        <f>'Armada - Diurna 12 x36 hs'!D59</f>
        <v>0</v>
      </c>
      <c r="E62" s="33">
        <f>IF($E$26="","",D62*$E$26)</f>
        <v>0</v>
      </c>
      <c r="F62" s="34"/>
      <c r="H62" s="56"/>
      <c r="I62" s="56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2:19" ht="14.25" customHeight="1">
      <c r="B63" s="313" t="s">
        <v>38</v>
      </c>
      <c r="C63" s="314"/>
      <c r="D63" s="32">
        <f>'Armada - Diurna 12 x36 hs'!D60</f>
        <v>1.6444444444444446E-4</v>
      </c>
      <c r="E63" s="33">
        <f>IF($E$26="","",D63*$E$26)</f>
        <v>0.7137676411197692</v>
      </c>
      <c r="F63" s="34"/>
      <c r="H63" s="56" t="s">
        <v>39</v>
      </c>
      <c r="I63" s="315">
        <v>5.96</v>
      </c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2:19" ht="14.25" customHeight="1">
      <c r="B64" s="313" t="s">
        <v>40</v>
      </c>
      <c r="C64" s="314"/>
      <c r="D64" s="32">
        <f>'Armada - Diurna 12 x36 hs'!D61</f>
        <v>2.0833333333333332E-4</v>
      </c>
      <c r="E64" s="33">
        <f>IF($E$26="","",D64*$E$26)</f>
        <v>0.90426643722943723</v>
      </c>
      <c r="F64" s="34"/>
      <c r="H64" s="56" t="s">
        <v>41</v>
      </c>
      <c r="I64" s="312">
        <v>1.4999999999999999E-2</v>
      </c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2:19" ht="14.25" customHeight="1">
      <c r="B65" s="313" t="s">
        <v>42</v>
      </c>
      <c r="C65" s="314"/>
      <c r="D65" s="32">
        <f>'Armada - Diurna 12 x36 hs'!D62</f>
        <v>2.0833333333333332E-4</v>
      </c>
      <c r="E65" s="33">
        <f>IF($E$26="","",D65*$E$26)</f>
        <v>0.90426643722943723</v>
      </c>
      <c r="F65" s="34"/>
      <c r="H65" s="56" t="s">
        <v>73</v>
      </c>
      <c r="I65" s="312">
        <v>0.08</v>
      </c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2:19" ht="14.25" customHeight="1">
      <c r="B66" s="313" t="s">
        <v>43</v>
      </c>
      <c r="C66" s="314"/>
      <c r="D66" s="32">
        <f>'Armada - Diurna 12 x36 hs'!D63</f>
        <v>1.6180555555555555E-4</v>
      </c>
      <c r="E66" s="33">
        <f>IF($E$26="","",D66*$E$26)</f>
        <v>0.70231359958152961</v>
      </c>
      <c r="F66" s="34"/>
      <c r="H66" s="56" t="s">
        <v>44</v>
      </c>
      <c r="I66" s="143">
        <v>0.02</v>
      </c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2:19" ht="14.25" customHeight="1">
      <c r="B67" s="313" t="s">
        <v>45</v>
      </c>
      <c r="C67" s="314"/>
      <c r="D67" s="32"/>
      <c r="E67" s="33" t="s">
        <v>46</v>
      </c>
      <c r="F67" s="31"/>
      <c r="H67" s="56"/>
      <c r="I67" s="143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2:19" ht="14.25" customHeight="1" thickBot="1">
      <c r="B68" s="469" t="s">
        <v>47</v>
      </c>
      <c r="C68" s="475"/>
      <c r="D68" s="470"/>
      <c r="E68" s="35">
        <f>IF(E26="","",SUM(E62:E67))</f>
        <v>3.2246141151601733</v>
      </c>
      <c r="F68" s="31"/>
      <c r="H68" s="56"/>
      <c r="I68" s="143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2:19" ht="14.25" customHeight="1" thickBot="1">
      <c r="B69" s="501" t="s">
        <v>48</v>
      </c>
      <c r="C69" s="502"/>
      <c r="D69" s="503">
        <f>SUM(D66:D68)</f>
        <v>1.6180555555555555E-4</v>
      </c>
      <c r="E69" s="39">
        <f>IF(E26="","",E68*D43)</f>
        <v>1.1382887826515415</v>
      </c>
      <c r="F69" s="3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2:19" ht="14.25" customHeight="1" thickBot="1">
      <c r="B70" s="465" t="s">
        <v>49</v>
      </c>
      <c r="C70" s="466"/>
      <c r="D70" s="467"/>
      <c r="E70" s="40">
        <f>IF(E26="","",E68+E69)</f>
        <v>4.3629028978117148</v>
      </c>
      <c r="H70" s="4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2:19" ht="14.25" customHeight="1" thickBot="1">
      <c r="F71" s="25"/>
      <c r="H71" s="4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2:19" ht="14.25" customHeight="1" thickBot="1">
      <c r="B72" s="454" t="s">
        <v>50</v>
      </c>
      <c r="C72" s="455"/>
      <c r="D72" s="455"/>
      <c r="E72" s="456"/>
      <c r="F72" s="29"/>
      <c r="H72" s="36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2:19" ht="14.25" customHeight="1">
      <c r="B73" s="457" t="s">
        <v>89</v>
      </c>
      <c r="C73" s="458"/>
      <c r="D73" s="459"/>
      <c r="E73" s="96">
        <f>Uniformes!H15</f>
        <v>35.333075000000001</v>
      </c>
      <c r="F73" s="29"/>
      <c r="H73" s="1"/>
      <c r="I73" s="1"/>
      <c r="J73" s="1"/>
      <c r="O73" s="1"/>
      <c r="P73" s="1"/>
      <c r="Q73" s="1"/>
      <c r="R73" s="1"/>
      <c r="S73" s="1"/>
    </row>
    <row r="74" spans="2:19" ht="14.25" customHeight="1">
      <c r="B74" s="42" t="s">
        <v>51</v>
      </c>
      <c r="C74" s="43"/>
      <c r="D74" s="44"/>
      <c r="E74" s="179">
        <f>Equipamentos!H10+Equipamentos!H19+Equipamentos!H28</f>
        <v>33.761866875000003</v>
      </c>
      <c r="F74" s="31"/>
      <c r="H74" s="474"/>
      <c r="I74" s="474"/>
      <c r="J74" s="1"/>
      <c r="O74" s="1"/>
      <c r="P74" s="1"/>
      <c r="Q74" s="1"/>
      <c r="R74" s="1"/>
      <c r="S74" s="1"/>
    </row>
    <row r="75" spans="2:19" ht="14.25" customHeight="1" thickBot="1">
      <c r="B75" s="460" t="s">
        <v>52</v>
      </c>
      <c r="C75" s="461"/>
      <c r="D75" s="462"/>
      <c r="E75" s="30">
        <f>IF(E26="","",SUM(E73:E74))</f>
        <v>69.094941875000004</v>
      </c>
      <c r="H75" s="1"/>
      <c r="I75" s="1"/>
      <c r="J75" s="1"/>
      <c r="O75" s="66"/>
      <c r="P75" s="1"/>
      <c r="Q75" s="1"/>
      <c r="R75" s="1"/>
      <c r="S75" s="1"/>
    </row>
    <row r="76" spans="2:19" ht="14.25" customHeight="1" thickBot="1">
      <c r="F76" s="25"/>
      <c r="H76" s="1"/>
      <c r="I76" s="1"/>
      <c r="J76" s="1"/>
      <c r="O76" s="66"/>
      <c r="P76" s="1"/>
      <c r="Q76" s="1"/>
      <c r="R76" s="1"/>
      <c r="S76" s="1"/>
    </row>
    <row r="77" spans="2:19" ht="14.25" customHeight="1" thickBot="1">
      <c r="B77" s="454" t="s">
        <v>53</v>
      </c>
      <c r="C77" s="455"/>
      <c r="D77" s="455"/>
      <c r="E77" s="456"/>
      <c r="F77" s="34"/>
      <c r="H77" s="1"/>
      <c r="I77" s="1"/>
      <c r="J77" s="1"/>
      <c r="O77" s="66"/>
      <c r="P77" s="1"/>
      <c r="Q77" s="1"/>
      <c r="R77" s="36"/>
      <c r="S77" s="1"/>
    </row>
    <row r="78" spans="2:19" ht="14.25" customHeight="1">
      <c r="B78" s="45" t="s">
        <v>54</v>
      </c>
      <c r="C78" s="46"/>
      <c r="D78" s="37">
        <v>0.01</v>
      </c>
      <c r="E78" s="47">
        <f>IF($E$26="","",($E$26+$E$50+$E$59+$E$70+$E$75)*$D$78)</f>
        <v>80.325137515028118</v>
      </c>
      <c r="F78" s="34"/>
      <c r="I78" s="1"/>
      <c r="J78" s="1"/>
      <c r="O78" s="66"/>
      <c r="P78" s="1"/>
      <c r="Q78" s="1"/>
      <c r="R78" s="1"/>
      <c r="S78" s="1"/>
    </row>
    <row r="79" spans="2:19" ht="14.25" customHeight="1">
      <c r="B79" s="48" t="s">
        <v>55</v>
      </c>
      <c r="C79" s="49"/>
      <c r="D79" s="32">
        <v>0.03</v>
      </c>
      <c r="E79" s="47">
        <f>IF($E$26="","",($D$79*($E$26+$E$50+$E$59+$E$70+$E$75+$E$78+$E$82)/(1-SUM($D$79:$D$81))))</f>
        <v>268.19974845363714</v>
      </c>
      <c r="F79" s="34"/>
      <c r="H79" s="1"/>
      <c r="I79" s="1"/>
      <c r="J79" s="1"/>
      <c r="O79" s="66"/>
      <c r="P79" s="1"/>
      <c r="Q79" s="1"/>
      <c r="R79" s="36"/>
      <c r="S79" s="1"/>
    </row>
    <row r="80" spans="2:19" ht="14.25" customHeight="1">
      <c r="B80" s="313" t="s">
        <v>56</v>
      </c>
      <c r="C80" s="314"/>
      <c r="D80" s="32">
        <v>6.4999999999999997E-3</v>
      </c>
      <c r="E80" s="47">
        <f>IF($E$26="","",($D$80*($E$26+$E$50+$E$59+$E$70+$E$75+$E$78+$E$82)/(1-SUM($D$79:$D$81))))</f>
        <v>58.109945498288042</v>
      </c>
      <c r="F80" s="34"/>
      <c r="H80" s="1"/>
      <c r="I80" s="1"/>
      <c r="J80" s="1"/>
      <c r="O80" s="66"/>
      <c r="P80" s="1"/>
      <c r="Q80" s="1"/>
      <c r="R80" s="36"/>
      <c r="S80" s="1"/>
    </row>
    <row r="81" spans="2:19" ht="14.25" customHeight="1">
      <c r="B81" s="313" t="s">
        <v>57</v>
      </c>
      <c r="C81" s="314"/>
      <c r="D81" s="37">
        <v>0.05</v>
      </c>
      <c r="E81" s="47">
        <f>IF($E$26="","",($D$81*($E$26+$E$50+$E$59+$E$70+$E$75+$E$78+$E$82)/(1-SUM($D$79:$D$81))))</f>
        <v>446.99958075606196</v>
      </c>
      <c r="F81" s="34"/>
      <c r="H81" s="1"/>
      <c r="I81" s="1"/>
      <c r="J81" s="1"/>
      <c r="O81" s="66"/>
      <c r="P81" s="1"/>
      <c r="Q81" s="1"/>
      <c r="R81" s="36"/>
      <c r="S81" s="1"/>
    </row>
    <row r="82" spans="2:19" ht="14.25" customHeight="1">
      <c r="B82" s="313" t="s">
        <v>58</v>
      </c>
      <c r="C82" s="314"/>
      <c r="D82" s="37">
        <v>6.6368199999999999E-3</v>
      </c>
      <c r="E82" s="47">
        <f>IF($E$26="","",($E$26+$E$50+$E$59+$E$70+$E$75+$E$78)*$D$82)</f>
        <v>53.843451395411378</v>
      </c>
      <c r="F82" s="31"/>
      <c r="H82" s="1"/>
      <c r="I82" s="1"/>
      <c r="J82" s="1"/>
      <c r="K82" s="75"/>
      <c r="L82" s="74"/>
      <c r="O82" s="66"/>
      <c r="P82" s="1"/>
      <c r="Q82" s="1"/>
      <c r="R82" s="36"/>
      <c r="S82" s="1"/>
    </row>
    <row r="83" spans="2:19" ht="14.25" customHeight="1" thickBot="1">
      <c r="B83" s="460" t="s">
        <v>59</v>
      </c>
      <c r="C83" s="461"/>
      <c r="D83" s="462"/>
      <c r="E83" s="50">
        <f>IF(E26="","",SUM($E$78:$E$82))</f>
        <v>907.47786361842668</v>
      </c>
      <c r="H83" s="1"/>
      <c r="I83" s="1"/>
      <c r="K83" s="75"/>
      <c r="O83" s="66"/>
      <c r="P83" s="1"/>
      <c r="Q83" s="1"/>
      <c r="R83" s="1"/>
      <c r="S83" s="1"/>
    </row>
    <row r="84" spans="2:19" ht="14.25" customHeight="1" thickBot="1">
      <c r="F84" s="31"/>
      <c r="H84" s="1"/>
      <c r="I84" s="1"/>
      <c r="J84" s="1"/>
      <c r="K84" s="73"/>
      <c r="O84" s="66"/>
      <c r="P84" s="1"/>
      <c r="Q84" s="1"/>
      <c r="R84" s="1"/>
      <c r="S84" s="1"/>
    </row>
    <row r="85" spans="2:19" ht="14.25" customHeight="1" thickBot="1">
      <c r="B85" s="463" t="s">
        <v>60</v>
      </c>
      <c r="C85" s="464"/>
      <c r="D85" s="464"/>
      <c r="E85" s="51">
        <f>E26+E50+E59+E70+E75+E83</f>
        <v>8939.9916151212383</v>
      </c>
      <c r="H85" s="286"/>
      <c r="I85" s="306"/>
      <c r="O85" s="67"/>
    </row>
    <row r="86" spans="2:19" ht="14.25" customHeight="1" thickBot="1">
      <c r="F86" s="31"/>
      <c r="H86" s="1"/>
      <c r="I86" s="1"/>
      <c r="O86" s="67"/>
    </row>
    <row r="87" spans="2:19" ht="14.25" customHeight="1" thickBot="1">
      <c r="B87" s="452" t="s">
        <v>61</v>
      </c>
      <c r="C87" s="453"/>
      <c r="D87" s="453"/>
      <c r="E87" s="52">
        <f>E85*E12</f>
        <v>17879.983230242477</v>
      </c>
      <c r="F87" s="55"/>
      <c r="G87" s="54"/>
      <c r="O87" s="67"/>
    </row>
    <row r="88" spans="2:19" ht="14.25" customHeight="1">
      <c r="B88" s="316"/>
      <c r="C88" s="316"/>
      <c r="D88" s="53"/>
      <c r="E88" s="54"/>
      <c r="H88" s="54"/>
      <c r="O88" s="67"/>
    </row>
    <row r="89" spans="2:19" ht="14.25" customHeight="1">
      <c r="B89" s="3" t="s">
        <v>62</v>
      </c>
      <c r="D89" s="180">
        <f>IF(E26="","-",E85/E26)</f>
        <v>2.0596786261986311</v>
      </c>
      <c r="E89" s="3" t="str">
        <f>IF(E26="","a ser calculado",IF(D89&lt;=2.7,"OK","Superior a 2,7 --- Reavaliar planilha"))</f>
        <v>OK</v>
      </c>
      <c r="O89" s="67"/>
    </row>
    <row r="90" spans="2:19" ht="14.25" customHeight="1">
      <c r="B90" s="436" t="s">
        <v>181</v>
      </c>
      <c r="C90" s="436"/>
      <c r="D90" s="436"/>
      <c r="E90" s="436"/>
      <c r="O90" s="67"/>
    </row>
    <row r="91" spans="2:19" ht="14.25" customHeight="1">
      <c r="O91" s="67"/>
    </row>
    <row r="92" spans="2:19" ht="14.25" customHeight="1">
      <c r="O92" s="67"/>
      <c r="P92" s="65"/>
    </row>
    <row r="93" spans="2:19" ht="14.25" customHeight="1">
      <c r="P93" s="65"/>
    </row>
    <row r="95" spans="2:19" ht="14.25" customHeight="1">
      <c r="L95" s="65"/>
    </row>
  </sheetData>
  <sheetProtection formatColumns="0" formatRows="0"/>
  <mergeCells count="50">
    <mergeCell ref="B8:D8"/>
    <mergeCell ref="B2:E2"/>
    <mergeCell ref="B4:E4"/>
    <mergeCell ref="B5:D5"/>
    <mergeCell ref="B6:D6"/>
    <mergeCell ref="B7:D7"/>
    <mergeCell ref="L22:M22"/>
    <mergeCell ref="B23:C23"/>
    <mergeCell ref="B26:D26"/>
    <mergeCell ref="B10:E10"/>
    <mergeCell ref="B11:C11"/>
    <mergeCell ref="B12:C12"/>
    <mergeCell ref="B14:E14"/>
    <mergeCell ref="C15:D15"/>
    <mergeCell ref="C16:D16"/>
    <mergeCell ref="K26:L26"/>
    <mergeCell ref="H41:H43"/>
    <mergeCell ref="I41:I43"/>
    <mergeCell ref="B43:C43"/>
    <mergeCell ref="C17:D17"/>
    <mergeCell ref="C18:D18"/>
    <mergeCell ref="B20:E20"/>
    <mergeCell ref="B28:E28"/>
    <mergeCell ref="B29:E29"/>
    <mergeCell ref="B33:D33"/>
    <mergeCell ref="B34:E34"/>
    <mergeCell ref="B59:D59"/>
    <mergeCell ref="B61:E61"/>
    <mergeCell ref="B44:E44"/>
    <mergeCell ref="B45:D45"/>
    <mergeCell ref="B46:D46"/>
    <mergeCell ref="B49:D49"/>
    <mergeCell ref="B50:D50"/>
    <mergeCell ref="B52:E52"/>
    <mergeCell ref="H74:I74"/>
    <mergeCell ref="H53:H54"/>
    <mergeCell ref="I53:I54"/>
    <mergeCell ref="H55:H57"/>
    <mergeCell ref="I55:I57"/>
    <mergeCell ref="B90:E90"/>
    <mergeCell ref="B68:D68"/>
    <mergeCell ref="B69:D69"/>
    <mergeCell ref="B70:D70"/>
    <mergeCell ref="B72:E72"/>
    <mergeCell ref="B73:D73"/>
    <mergeCell ref="B75:D75"/>
    <mergeCell ref="B77:E77"/>
    <mergeCell ref="B83:D83"/>
    <mergeCell ref="B85:D85"/>
    <mergeCell ref="B87:D87"/>
  </mergeCells>
  <dataValidations count="9">
    <dataValidation type="list" allowBlank="1" showInputMessage="1" showErrorMessage="1" sqref="H12">
      <formula1>$J$2:$J$3</formula1>
    </dataValidation>
    <dataValidation type="decimal" operator="lessThanOrEqual" allowBlank="1" showInputMessage="1" showErrorMessage="1" errorTitle="Valor inválido" error="Deve ser igual ou inferior a 5,96 (Ref.: IBGE)" sqref="I63">
      <formula1>5.96</formula1>
    </dataValidation>
    <dataValidation type="decimal" operator="lessThanOrEqual" allowBlank="1" showInputMessage="1" showErrorMessage="1" errorTitle="Valor inválido" error="Deve ser igual ou inferior a 5,55 (Ref.: TCU)" sqref="I53">
      <formula1>0.0555</formula1>
    </dataValidation>
    <dataValidation type="decimal" operator="lessThanOrEqual" allowBlank="1" showInputMessage="1" showErrorMessage="1" errorTitle="Valor inválido" error="Deve ser igual ou inferior a 1,50% (Ref.: IBGE)" sqref="I64">
      <formula1>0.015</formula1>
    </dataValidation>
    <dataValidation type="decimal" operator="lessThanOrEqual" allowBlank="1" showInputMessage="1" showErrorMessage="1" errorTitle="Valor inválido" error="Deve ser igual ou inferior a 8,00% (Ref.: IBGE)" sqref="I65">
      <formula1>0.08</formula1>
    </dataValidation>
    <dataValidation type="decimal" operator="lessThanOrEqual" allowBlank="1" showInputMessage="1" showErrorMessage="1" errorTitle="Valor inválido" error="Deve ser igual ou inferior a 2,00% (Ref.: IBGE)" sqref="I66">
      <formula1>0.02</formula1>
    </dataValidation>
    <dataValidation type="decimal" operator="lessThanOrEqual" allowBlank="1" showInputMessage="1" showErrorMessage="1" errorTitle="Valor inválido" error="Máximo aceito = 6%" sqref="D41">
      <formula1>0.06</formula1>
    </dataValidation>
    <dataValidation type="decimal" allowBlank="1" showInputMessage="1" showErrorMessage="1" errorTitle="Valor inválido" error="Mínimo aceito = 2%_x000a_Máximo aceito = 5%" sqref="D81">
      <formula1>0.02</formula1>
      <formula2>0.05</formula2>
    </dataValidation>
    <dataValidation operator="lessThanOrEqual" showInputMessage="1" errorTitle="Valor inválido" error="Máximo aceito = 5%" sqref="D78"/>
  </dataValidations>
  <pageMargins left="0.25" right="0.25" top="0.75" bottom="0.75" header="0.3" footer="0.3"/>
  <pageSetup paperSize="9" scale="58" orientation="portrait" verticalDpi="300" r:id="rId1"/>
  <headerFooter>
    <oddHeader>&amp;CProcesso Administrativo Nº 09013.000267/2019-41
ANEXO II DO TR
Planilha de Composição de Custos</oddHead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5"/>
  <sheetViews>
    <sheetView showGridLines="0" view="pageBreakPreview" zoomScale="90" zoomScaleNormal="100" zoomScaleSheetLayoutView="90" workbookViewId="0">
      <selection activeCell="E19" sqref="E19"/>
    </sheetView>
  </sheetViews>
  <sheetFormatPr defaultRowHeight="14.25" customHeight="1"/>
  <cols>
    <col min="1" max="1" width="1.7109375" style="18" customWidth="1"/>
    <col min="2" max="2" width="13.7109375" style="3" customWidth="1"/>
    <col min="3" max="3" width="59.42578125" style="3" customWidth="1"/>
    <col min="4" max="4" width="12.140625" style="3" customWidth="1"/>
    <col min="5" max="5" width="12.42578125" style="3" bestFit="1" customWidth="1"/>
    <col min="6" max="6" width="1.7109375" style="17" customWidth="1"/>
    <col min="7" max="7" width="7.42578125" style="18" customWidth="1"/>
    <col min="8" max="8" width="18.28515625" style="18" customWidth="1"/>
    <col min="9" max="9" width="15.5703125" style="18" customWidth="1"/>
    <col min="10" max="10" width="11.85546875" style="18" customWidth="1"/>
    <col min="11" max="11" width="24.28515625" style="18" bestFit="1" customWidth="1"/>
    <col min="12" max="12" width="11.5703125" style="18" bestFit="1" customWidth="1"/>
    <col min="13" max="13" width="9.140625" style="18"/>
    <col min="14" max="14" width="11.42578125" style="18" bestFit="1" customWidth="1"/>
    <col min="15" max="15" width="9.140625" style="18"/>
    <col min="16" max="16" width="10.5703125" style="18" bestFit="1" customWidth="1"/>
    <col min="17" max="17" width="13.140625" style="18" customWidth="1"/>
    <col min="18" max="16384" width="9.140625" style="18"/>
  </cols>
  <sheetData>
    <row r="1" spans="2:19" ht="14.25" customHeight="1" thickBot="1"/>
    <row r="2" spans="2:19" s="3" customFormat="1" ht="22.5" customHeight="1" thickBot="1">
      <c r="B2" s="482" t="s">
        <v>84</v>
      </c>
      <c r="C2" s="483"/>
      <c r="D2" s="483"/>
      <c r="E2" s="484"/>
      <c r="G2" s="19"/>
      <c r="J2" s="19" t="s">
        <v>0</v>
      </c>
    </row>
    <row r="3" spans="2:19" ht="14.25" customHeight="1" thickBot="1">
      <c r="J3" s="19" t="s">
        <v>1</v>
      </c>
    </row>
    <row r="4" spans="2:19" ht="14.25" customHeight="1">
      <c r="B4" s="485" t="s">
        <v>63</v>
      </c>
      <c r="C4" s="486"/>
      <c r="D4" s="486"/>
      <c r="E4" s="487"/>
      <c r="J4" s="19"/>
    </row>
    <row r="5" spans="2:19" ht="14.25" customHeight="1">
      <c r="B5" s="488" t="s">
        <v>75</v>
      </c>
      <c r="C5" s="489"/>
      <c r="D5" s="490"/>
      <c r="E5" s="63"/>
      <c r="J5" s="19"/>
    </row>
    <row r="6" spans="2:19" ht="14.25" customHeight="1">
      <c r="B6" s="457" t="s">
        <v>76</v>
      </c>
      <c r="C6" s="458"/>
      <c r="D6" s="459"/>
      <c r="E6" s="9" t="s">
        <v>83</v>
      </c>
      <c r="J6" s="19"/>
    </row>
    <row r="7" spans="2:19" ht="14.25" customHeight="1">
      <c r="B7" s="457" t="s">
        <v>77</v>
      </c>
      <c r="C7" s="458"/>
      <c r="D7" s="459"/>
      <c r="E7" s="9">
        <v>2024</v>
      </c>
      <c r="J7" s="19"/>
    </row>
    <row r="8" spans="2:19" ht="14.25" customHeight="1" thickBot="1">
      <c r="B8" s="479" t="s">
        <v>78</v>
      </c>
      <c r="C8" s="480"/>
      <c r="D8" s="481"/>
      <c r="E8" s="7">
        <v>12</v>
      </c>
      <c r="J8" s="19"/>
    </row>
    <row r="9" spans="2:19" ht="14.25" customHeight="1" thickBot="1">
      <c r="J9" s="19"/>
    </row>
    <row r="10" spans="2:19" ht="14.25" customHeight="1" thickBot="1">
      <c r="B10" s="485" t="s">
        <v>65</v>
      </c>
      <c r="C10" s="486"/>
      <c r="D10" s="486"/>
      <c r="E10" s="487"/>
      <c r="J10" s="19"/>
    </row>
    <row r="11" spans="2:19" s="107" customFormat="1" ht="33" customHeight="1" thickBot="1">
      <c r="B11" s="491" t="s">
        <v>2</v>
      </c>
      <c r="C11" s="492"/>
      <c r="D11" s="105" t="s">
        <v>3</v>
      </c>
      <c r="E11" s="11" t="s">
        <v>4</v>
      </c>
      <c r="F11" s="12"/>
      <c r="H11" s="13" t="s">
        <v>64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2:19" ht="14.25" customHeight="1" thickBot="1">
      <c r="B12" s="493" t="s">
        <v>86</v>
      </c>
      <c r="C12" s="494"/>
      <c r="D12" s="14" t="s">
        <v>94</v>
      </c>
      <c r="E12" s="15">
        <v>20</v>
      </c>
      <c r="F12" s="21"/>
      <c r="H12" s="16" t="s"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2:19" ht="14.25" customHeight="1" thickBot="1">
      <c r="B13" s="22"/>
      <c r="C13" s="22"/>
      <c r="D13" s="22"/>
      <c r="E13" s="22"/>
      <c r="F13" s="2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2:19" ht="14.25" customHeight="1">
      <c r="B14" s="485" t="s">
        <v>70</v>
      </c>
      <c r="C14" s="486"/>
      <c r="D14" s="486"/>
      <c r="E14" s="487"/>
      <c r="F14" s="2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2:19" ht="14.25" customHeight="1">
      <c r="B15" s="5">
        <v>1</v>
      </c>
      <c r="C15" s="495" t="s">
        <v>66</v>
      </c>
      <c r="D15" s="496"/>
      <c r="E15" s="8"/>
      <c r="F15" s="2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2:19" ht="14.25" customHeight="1">
      <c r="B16" s="6">
        <v>2</v>
      </c>
      <c r="C16" s="497" t="s">
        <v>67</v>
      </c>
      <c r="D16" s="498"/>
      <c r="E16" s="80">
        <f>'Armada - Diurna 12 x36 hs'!E16</f>
        <v>2723.41</v>
      </c>
      <c r="F16" s="2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14.25" customHeight="1">
      <c r="B17" s="6">
        <v>3</v>
      </c>
      <c r="C17" s="497" t="s">
        <v>68</v>
      </c>
      <c r="D17" s="498"/>
      <c r="E17" s="9" t="s">
        <v>112</v>
      </c>
      <c r="F17" s="2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4.25" customHeight="1" thickBot="1">
      <c r="B18" s="4">
        <v>4</v>
      </c>
      <c r="C18" s="499" t="s">
        <v>69</v>
      </c>
      <c r="D18" s="500"/>
      <c r="E18" s="64">
        <v>45292</v>
      </c>
      <c r="F18" s="2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 thickBot="1">
      <c r="B19" s="22"/>
      <c r="C19" s="22"/>
      <c r="D19" s="22"/>
      <c r="E19" s="22"/>
      <c r="F19" s="2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 thickBot="1">
      <c r="A20" s="24"/>
      <c r="B20" s="515" t="s">
        <v>5</v>
      </c>
      <c r="C20" s="516"/>
      <c r="D20" s="516"/>
      <c r="E20" s="517"/>
      <c r="F20" s="25"/>
      <c r="H20" t="s">
        <v>115</v>
      </c>
      <c r="I20" s="119">
        <f>E21+E22</f>
        <v>3540.433</v>
      </c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4.25" customHeight="1">
      <c r="A21" s="24"/>
      <c r="B21" s="324" t="s">
        <v>6</v>
      </c>
      <c r="C21" s="325"/>
      <c r="D21" s="326"/>
      <c r="E21" s="327">
        <f>E16</f>
        <v>2723.41</v>
      </c>
      <c r="F21" s="29"/>
      <c r="H21" t="s">
        <v>116</v>
      </c>
      <c r="I21">
        <v>220</v>
      </c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4.25" customHeight="1">
      <c r="A22" s="24"/>
      <c r="B22" s="328" t="s">
        <v>111</v>
      </c>
      <c r="C22" s="321"/>
      <c r="D22" s="32">
        <v>0.3</v>
      </c>
      <c r="E22" s="28">
        <f>E21*D22</f>
        <v>817.02299999999991</v>
      </c>
      <c r="F22" s="29"/>
      <c r="H22" t="s">
        <v>117</v>
      </c>
      <c r="I22" s="120">
        <v>0.2</v>
      </c>
      <c r="J22" s="1"/>
      <c r="K22" s="81"/>
      <c r="L22" s="474"/>
      <c r="M22" s="474"/>
      <c r="N22" s="1"/>
      <c r="O22" s="1"/>
      <c r="P22" s="1"/>
      <c r="Q22" s="1"/>
      <c r="R22" s="1"/>
      <c r="S22" s="1"/>
    </row>
    <row r="23" spans="1:19" ht="14.25" customHeight="1">
      <c r="A23" s="24"/>
      <c r="B23" s="457" t="s">
        <v>123</v>
      </c>
      <c r="C23" s="458"/>
      <c r="D23" s="32">
        <v>0.2</v>
      </c>
      <c r="E23" s="28">
        <f>(((E21+E22)/220)*20%)*(15*7)</f>
        <v>337.95042272727272</v>
      </c>
      <c r="F23" s="29"/>
      <c r="H23" t="s">
        <v>118</v>
      </c>
      <c r="I23">
        <f>60/52.5</f>
        <v>1.1428571428571428</v>
      </c>
      <c r="J23" s="1"/>
      <c r="K23" s="81"/>
      <c r="L23" s="107"/>
      <c r="M23" s="107"/>
      <c r="N23" s="1"/>
      <c r="O23" s="1"/>
      <c r="P23" s="1"/>
      <c r="Q23" s="1"/>
      <c r="R23" s="1"/>
      <c r="S23" s="1"/>
    </row>
    <row r="24" spans="1:19" ht="14.25" customHeight="1">
      <c r="A24" s="24"/>
      <c r="B24" s="328" t="s">
        <v>129</v>
      </c>
      <c r="C24" s="43"/>
      <c r="D24" s="32">
        <v>0.2</v>
      </c>
      <c r="E24" s="28">
        <f>((E21+E22)/220)*D24*15</f>
        <v>48.278631818181822</v>
      </c>
      <c r="F24" s="29"/>
      <c r="H24"/>
      <c r="I24"/>
      <c r="J24" s="1"/>
      <c r="K24" s="81"/>
      <c r="L24" s="144"/>
      <c r="M24" s="144"/>
      <c r="N24" s="1"/>
      <c r="O24" s="1"/>
      <c r="P24" s="1"/>
      <c r="Q24" s="1"/>
      <c r="R24" s="1"/>
      <c r="S24" s="1"/>
    </row>
    <row r="25" spans="1:19" ht="14.25" customHeight="1" thickBot="1">
      <c r="A25" s="24"/>
      <c r="B25" s="460" t="s">
        <v>7</v>
      </c>
      <c r="C25" s="461"/>
      <c r="D25" s="462"/>
      <c r="E25" s="30">
        <f>E21+E22+E23+E24</f>
        <v>3926.6620545454548</v>
      </c>
      <c r="F25" s="31"/>
      <c r="H25" t="s">
        <v>119</v>
      </c>
      <c r="I25">
        <v>7</v>
      </c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4.25" customHeight="1" thickBot="1">
      <c r="H26" t="s">
        <v>120</v>
      </c>
      <c r="I26">
        <v>15</v>
      </c>
      <c r="J26" s="1"/>
      <c r="K26" s="474"/>
      <c r="L26" s="474"/>
      <c r="M26" s="1"/>
      <c r="N26" s="1"/>
      <c r="O26" s="1"/>
      <c r="P26" s="1"/>
      <c r="Q26" s="1"/>
      <c r="R26" s="1"/>
      <c r="S26" s="1"/>
    </row>
    <row r="27" spans="1:19" ht="14.25" customHeight="1" thickBot="1">
      <c r="B27" s="454" t="s">
        <v>8</v>
      </c>
      <c r="C27" s="455"/>
      <c r="D27" s="455"/>
      <c r="E27" s="456"/>
      <c r="F27" s="25"/>
      <c r="H27" t="s">
        <v>121</v>
      </c>
      <c r="I27">
        <f>I20/I21*I22*I25*I26*I23</f>
        <v>386.22905454545452</v>
      </c>
      <c r="J27" s="1"/>
      <c r="K27" s="1"/>
      <c r="L27" s="1"/>
      <c r="M27" s="1"/>
      <c r="N27" s="77"/>
      <c r="O27" s="1"/>
      <c r="P27" s="1"/>
      <c r="Q27" s="1"/>
      <c r="R27" s="1"/>
      <c r="S27" s="1"/>
    </row>
    <row r="28" spans="1:19" ht="14.25" customHeight="1">
      <c r="B28" s="471" t="s">
        <v>9</v>
      </c>
      <c r="C28" s="472"/>
      <c r="D28" s="472"/>
      <c r="E28" s="473"/>
      <c r="F28" s="23"/>
      <c r="H28" s="1"/>
      <c r="I28" s="1"/>
      <c r="J28" s="1"/>
      <c r="K28" s="1"/>
      <c r="L28" s="1"/>
      <c r="M28" s="1"/>
      <c r="N28" s="77"/>
      <c r="O28" s="1"/>
      <c r="P28" s="1"/>
      <c r="Q28" s="1"/>
      <c r="R28" s="1"/>
      <c r="S28" s="1"/>
    </row>
    <row r="29" spans="1:19" ht="14.25" customHeight="1">
      <c r="B29" s="103" t="s">
        <v>10</v>
      </c>
      <c r="C29" s="104"/>
      <c r="D29" s="32">
        <f>'Armada - Diurna 12 x36 hs'!D27</f>
        <v>8.3299999999999999E-2</v>
      </c>
      <c r="E29" s="33">
        <f>IF($E$25="","",D29*$E$25)</f>
        <v>327.09094914363641</v>
      </c>
      <c r="F29" s="34"/>
      <c r="H29" s="1"/>
      <c r="I29" s="1"/>
      <c r="J29" s="1"/>
      <c r="K29" s="1"/>
      <c r="L29" s="1"/>
      <c r="M29" s="1"/>
      <c r="N29" s="77"/>
      <c r="O29" s="1"/>
      <c r="P29" s="1"/>
      <c r="Q29" s="1"/>
      <c r="R29" s="1"/>
      <c r="S29" s="1"/>
    </row>
    <row r="30" spans="1:19" ht="14.25" customHeight="1">
      <c r="B30" s="298" t="s">
        <v>276</v>
      </c>
      <c r="C30" s="299"/>
      <c r="D30" s="32">
        <f>'ES Memória de Cálculo'!B6</f>
        <v>8.9300000000000004E-2</v>
      </c>
      <c r="E30" s="33">
        <f>E25*D30</f>
        <v>350.65092147090911</v>
      </c>
      <c r="F30" s="3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4.25" customHeight="1">
      <c r="B31" s="298" t="s">
        <v>277</v>
      </c>
      <c r="C31" s="299"/>
      <c r="D31" s="32">
        <f>'ES Memória de Cálculo'!B7</f>
        <v>3.1699999999999999E-2</v>
      </c>
      <c r="E31" s="33">
        <f>E25*D31</f>
        <v>124.47518712909091</v>
      </c>
      <c r="F31" s="34"/>
      <c r="G31" s="305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4.25" customHeight="1" thickBot="1">
      <c r="B32" s="469" t="s">
        <v>11</v>
      </c>
      <c r="C32" s="475"/>
      <c r="D32" s="470"/>
      <c r="E32" s="35">
        <f>IF(E25="","",SUM(E29:E31))</f>
        <v>802.21705774363647</v>
      </c>
      <c r="F32" s="3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2:19" ht="14.25" customHeight="1">
      <c r="B33" s="471" t="s">
        <v>12</v>
      </c>
      <c r="C33" s="472"/>
      <c r="D33" s="472"/>
      <c r="E33" s="473"/>
      <c r="F33" s="23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2:19" ht="14.25" customHeight="1">
      <c r="B34" s="103" t="s">
        <v>13</v>
      </c>
      <c r="C34" s="104"/>
      <c r="D34" s="32">
        <v>0.2</v>
      </c>
      <c r="E34" s="33">
        <f>IF($E$25="","",($E$25+$E$32)*D34)</f>
        <v>945.77582245781832</v>
      </c>
      <c r="F34" s="34"/>
      <c r="H34" s="1"/>
      <c r="I34" s="1"/>
      <c r="J34" s="1"/>
      <c r="K34" s="36"/>
      <c r="L34" s="1"/>
      <c r="M34" s="1"/>
      <c r="N34" s="1"/>
      <c r="O34" s="1"/>
      <c r="P34" s="1"/>
      <c r="Q34" s="1"/>
      <c r="R34" s="1"/>
      <c r="S34" s="1"/>
    </row>
    <row r="35" spans="2:19" ht="14.25" customHeight="1">
      <c r="B35" s="103" t="s">
        <v>14</v>
      </c>
      <c r="C35" s="104"/>
      <c r="D35" s="32">
        <v>1.4999999999999999E-2</v>
      </c>
      <c r="E35" s="33">
        <f t="shared" ref="E35:E41" si="0">IF($E$25="","",($E$25+$E$32)*D35)</f>
        <v>70.933186684336377</v>
      </c>
      <c r="F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2:19" ht="14.25" customHeight="1">
      <c r="B36" s="103" t="s">
        <v>15</v>
      </c>
      <c r="C36" s="104"/>
      <c r="D36" s="32">
        <v>0.01</v>
      </c>
      <c r="E36" s="33">
        <f>IF($E$25="","",($E$25+$E$32)*D36)</f>
        <v>47.28879112289092</v>
      </c>
      <c r="F36" s="3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2:19" ht="14.25" customHeight="1">
      <c r="B37" s="103" t="s">
        <v>16</v>
      </c>
      <c r="C37" s="104"/>
      <c r="D37" s="32">
        <v>2E-3</v>
      </c>
      <c r="E37" s="33">
        <f t="shared" si="0"/>
        <v>9.4577582245781837</v>
      </c>
      <c r="F37" s="3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2:19" ht="14.25" customHeight="1">
      <c r="B38" s="103" t="s">
        <v>17</v>
      </c>
      <c r="C38" s="104"/>
      <c r="D38" s="32">
        <v>2.5000000000000001E-2</v>
      </c>
      <c r="E38" s="33">
        <f>IF($E$25="","",($E$25+$E$32)*D38)</f>
        <v>118.22197780722729</v>
      </c>
      <c r="F38" s="3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2:19" ht="14.25" customHeight="1">
      <c r="B39" s="103" t="s">
        <v>18</v>
      </c>
      <c r="C39" s="104"/>
      <c r="D39" s="32">
        <v>0.08</v>
      </c>
      <c r="E39" s="33">
        <f t="shared" si="0"/>
        <v>378.31032898312736</v>
      </c>
      <c r="F39" s="34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2:19" ht="14.25" customHeight="1">
      <c r="B40" s="103" t="s">
        <v>19</v>
      </c>
      <c r="C40" s="104"/>
      <c r="D40" s="37">
        <f>'Armada - Diurna 12 x36 hs'!D38</f>
        <v>1.4999999999999999E-2</v>
      </c>
      <c r="E40" s="33">
        <f>IF($E$25="","",($E$25+$E$32)*D40)</f>
        <v>70.933186684336377</v>
      </c>
      <c r="F40" s="34"/>
      <c r="H40" s="450" t="s">
        <v>23</v>
      </c>
      <c r="I40" s="468">
        <v>15</v>
      </c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2:19" ht="14.25" customHeight="1">
      <c r="B41" s="103" t="s">
        <v>20</v>
      </c>
      <c r="C41" s="104"/>
      <c r="D41" s="32">
        <v>6.0000000000000001E-3</v>
      </c>
      <c r="E41" s="33">
        <f t="shared" si="0"/>
        <v>28.373274673734549</v>
      </c>
      <c r="F41" s="34"/>
      <c r="H41" s="450"/>
      <c r="I41" s="468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2:19" ht="14.25" customHeight="1" thickBot="1">
      <c r="B42" s="469" t="s">
        <v>21</v>
      </c>
      <c r="C42" s="470"/>
      <c r="D42" s="38">
        <f>SUM(D34:D41)</f>
        <v>0.35300000000000009</v>
      </c>
      <c r="E42" s="35">
        <f>IF(E25="","",SUM(E34:E41))</f>
        <v>1669.2943266380494</v>
      </c>
      <c r="F42" s="31"/>
      <c r="H42" s="450"/>
      <c r="I42" s="468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2:19" ht="14.25" customHeight="1">
      <c r="B43" s="513" t="s">
        <v>22</v>
      </c>
      <c r="C43" s="514"/>
      <c r="D43" s="514"/>
      <c r="E43" s="531"/>
      <c r="F43" s="23"/>
      <c r="H43" s="56" t="s">
        <v>72</v>
      </c>
      <c r="I43" s="114">
        <f>47.37-(47.37*2%)</f>
        <v>46.422599999999996</v>
      </c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2:19" ht="14.25" customHeight="1">
      <c r="B44" s="538" t="s">
        <v>24</v>
      </c>
      <c r="C44" s="539"/>
      <c r="D44" s="539"/>
      <c r="E44" s="33">
        <f>I40*I43</f>
        <v>696.33899999999994</v>
      </c>
      <c r="F44" s="34"/>
      <c r="H44" s="56" t="s">
        <v>26</v>
      </c>
      <c r="I44" s="106">
        <v>5.5</v>
      </c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2:19" ht="14.25" customHeight="1">
      <c r="B45" s="538" t="s">
        <v>25</v>
      </c>
      <c r="C45" s="539"/>
      <c r="D45" s="539"/>
      <c r="E45" s="33">
        <f>(I44*I40*2)-(E21*6%)</f>
        <v>1.5954000000000121</v>
      </c>
      <c r="F45" s="34"/>
      <c r="H45" s="56"/>
      <c r="I45" s="106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2:19" ht="14.25" customHeight="1">
      <c r="B46" s="457" t="s">
        <v>188</v>
      </c>
      <c r="C46" s="458"/>
      <c r="D46" s="459"/>
      <c r="E46" s="33">
        <f>'Armada - Diurna 12 x36 hs'!E44</f>
        <v>10</v>
      </c>
      <c r="F46" s="34"/>
      <c r="H46" s="56"/>
      <c r="I46" s="145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2:19" ht="14.25" customHeight="1">
      <c r="B47" s="540" t="s">
        <v>164</v>
      </c>
      <c r="C47" s="541"/>
      <c r="D47" s="542"/>
      <c r="E47" s="33">
        <v>0</v>
      </c>
      <c r="F47" s="34"/>
      <c r="H47" s="56"/>
      <c r="I47" s="145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2:19" ht="14.25" customHeight="1">
      <c r="B48" s="508" t="s">
        <v>27</v>
      </c>
      <c r="C48" s="509"/>
      <c r="D48" s="509">
        <f>SUM(D44:D45)</f>
        <v>0</v>
      </c>
      <c r="E48" s="335">
        <f>IF(E25="","",SUM(E44:E47))</f>
        <v>707.93439999999998</v>
      </c>
      <c r="F48" s="31"/>
      <c r="H48" s="56"/>
      <c r="I48" s="57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2:19" ht="14.25" customHeight="1" thickBot="1">
      <c r="B49" s="529" t="s">
        <v>28</v>
      </c>
      <c r="C49" s="530"/>
      <c r="D49" s="530"/>
      <c r="E49" s="374">
        <f>IF(E25="","",E32+E42+E48)</f>
        <v>3179.4457843816858</v>
      </c>
      <c r="F49" s="31"/>
      <c r="H49" s="56"/>
      <c r="I49" s="57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2:19" ht="14.25" customHeight="1" thickBot="1">
      <c r="H50" s="56"/>
      <c r="I50" s="57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2:19" ht="14.25" customHeight="1" thickBot="1">
      <c r="B51" s="454" t="s">
        <v>29</v>
      </c>
      <c r="C51" s="455"/>
      <c r="D51" s="455"/>
      <c r="E51" s="456"/>
      <c r="F51" s="25"/>
      <c r="H51" s="56"/>
      <c r="I51" s="57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2:19" ht="14.25" customHeight="1">
      <c r="B52" s="103" t="s">
        <v>30</v>
      </c>
      <c r="C52" s="103"/>
      <c r="D52" s="32">
        <f>'Armada - Diurna 12 x36 hs'!D50</f>
        <v>8.3333333333333328E-4</v>
      </c>
      <c r="E52" s="33">
        <f t="shared" ref="E52:E57" si="1">IF($E$25="","",D52*$E$25)</f>
        <v>3.2722183787878789</v>
      </c>
      <c r="F52" s="34"/>
      <c r="H52" s="450" t="s">
        <v>71</v>
      </c>
      <c r="I52" s="451">
        <v>5.5500000000000001E-2</v>
      </c>
      <c r="J52" s="1"/>
      <c r="K52" s="72"/>
      <c r="L52" s="1"/>
      <c r="M52" s="1"/>
      <c r="N52" s="1"/>
      <c r="O52" s="1"/>
      <c r="P52" s="1"/>
      <c r="Q52" s="1"/>
      <c r="R52" s="1"/>
      <c r="S52" s="1"/>
    </row>
    <row r="53" spans="2:19" ht="14.25" customHeight="1">
      <c r="B53" s="103" t="s">
        <v>31</v>
      </c>
      <c r="C53" s="103"/>
      <c r="D53" s="32">
        <f>'Armada - Diurna 12 x36 hs'!D51</f>
        <v>6.666666666666667E-5</v>
      </c>
      <c r="E53" s="33">
        <f t="shared" si="1"/>
        <v>0.26177747030303034</v>
      </c>
      <c r="F53" s="34"/>
      <c r="H53" s="450"/>
      <c r="I53" s="45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2:19" ht="14.25" customHeight="1">
      <c r="B54" s="103" t="s">
        <v>183</v>
      </c>
      <c r="C54" s="103"/>
      <c r="D54" s="178">
        <f>'Armada - Diurna 12 x36 hs'!D52</f>
        <v>3.4000000000000002E-2</v>
      </c>
      <c r="E54" s="33">
        <f t="shared" si="1"/>
        <v>133.50650985454547</v>
      </c>
      <c r="F54" s="34"/>
      <c r="H54" s="450" t="s">
        <v>74</v>
      </c>
      <c r="I54" s="468">
        <v>0.9</v>
      </c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2:19" ht="14.25" customHeight="1">
      <c r="B55" s="103" t="s">
        <v>33</v>
      </c>
      <c r="C55" s="103"/>
      <c r="D55" s="32">
        <f>'Armada - Diurna 12 x36 hs'!D53</f>
        <v>1.9444444444444446E-4</v>
      </c>
      <c r="E55" s="33">
        <f t="shared" si="1"/>
        <v>0.76351762171717186</v>
      </c>
      <c r="F55" s="34"/>
      <c r="H55" s="450"/>
      <c r="I55" s="468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2:19" ht="14.25" customHeight="1">
      <c r="B56" s="103" t="s">
        <v>34</v>
      </c>
      <c r="C56" s="104"/>
      <c r="D56" s="32">
        <f>'Armada - Diurna 12 x36 hs'!D54</f>
        <v>6.8638888888888916E-5</v>
      </c>
      <c r="E56" s="33">
        <f t="shared" si="1"/>
        <v>0.26952172046616174</v>
      </c>
      <c r="F56" s="34"/>
      <c r="H56" s="450"/>
      <c r="I56" s="468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2:19" ht="14.25" customHeight="1">
      <c r="B57" s="103" t="s">
        <v>185</v>
      </c>
      <c r="C57" s="103"/>
      <c r="D57" s="178">
        <f>'Armada - Diurna 12 x36 hs'!D55</f>
        <v>6.0000000000000001E-3</v>
      </c>
      <c r="E57" s="33">
        <f t="shared" si="1"/>
        <v>23.559972327272728</v>
      </c>
      <c r="F57" s="34"/>
      <c r="H57" s="56"/>
      <c r="I57" s="56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2:19" ht="14.25" customHeight="1" thickBot="1">
      <c r="B58" s="460" t="s">
        <v>35</v>
      </c>
      <c r="C58" s="461"/>
      <c r="D58" s="462"/>
      <c r="E58" s="30">
        <f>IF(E25="","",SUM(E52:E57))</f>
        <v>161.63351737309245</v>
      </c>
      <c r="F58" s="31"/>
      <c r="H58" s="56"/>
      <c r="I58" s="56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2:19" ht="14.25" customHeight="1" thickBot="1">
      <c r="H59" s="56"/>
      <c r="I59" s="56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2:19" ht="14.25" customHeight="1" thickBot="1">
      <c r="B60" s="454" t="s">
        <v>36</v>
      </c>
      <c r="C60" s="455"/>
      <c r="D60" s="455"/>
      <c r="E60" s="456"/>
      <c r="F60" s="25"/>
      <c r="H60" s="56"/>
      <c r="I60" s="56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2:19" ht="14.25" customHeight="1">
      <c r="B61" s="103" t="s">
        <v>37</v>
      </c>
      <c r="C61" s="104"/>
      <c r="D61" s="178">
        <f>'Armada - Diurna 12 x36 hs'!D59</f>
        <v>0</v>
      </c>
      <c r="E61" s="33">
        <f>IF($E$25="","",D61*$E$25)</f>
        <v>0</v>
      </c>
      <c r="F61" s="34"/>
      <c r="H61" s="56"/>
      <c r="I61" s="56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2:19" ht="14.25" customHeight="1">
      <c r="B62" s="103" t="s">
        <v>38</v>
      </c>
      <c r="C62" s="104"/>
      <c r="D62" s="32">
        <f>'Armada - Diurna 12 x36 hs'!D60</f>
        <v>1.6444444444444446E-4</v>
      </c>
      <c r="E62" s="33">
        <f>IF($E$25="","",D62*$E$25)</f>
        <v>0.64571776008080817</v>
      </c>
      <c r="F62" s="34"/>
      <c r="H62" s="56" t="s">
        <v>39</v>
      </c>
      <c r="I62" s="106">
        <v>5.96</v>
      </c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2:19" ht="14.25" customHeight="1">
      <c r="B63" s="103" t="s">
        <v>40</v>
      </c>
      <c r="C63" s="104"/>
      <c r="D63" s="32">
        <f>'Armada - Diurna 12 x36 hs'!D61</f>
        <v>2.0833333333333332E-4</v>
      </c>
      <c r="E63" s="33">
        <f>IF($E$25="","",D63*$E$25)</f>
        <v>0.81805459469696973</v>
      </c>
      <c r="F63" s="34"/>
      <c r="H63" s="56" t="s">
        <v>41</v>
      </c>
      <c r="I63" s="108">
        <v>1.4999999999999999E-2</v>
      </c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2:19" ht="14.25" customHeight="1">
      <c r="B64" s="103" t="s">
        <v>42</v>
      </c>
      <c r="C64" s="104"/>
      <c r="D64" s="32">
        <f>'Armada - Diurna 12 x36 hs'!D62</f>
        <v>2.0833333333333332E-4</v>
      </c>
      <c r="E64" s="33">
        <f>IF($E$25="","",D64*$E$25)</f>
        <v>0.81805459469696973</v>
      </c>
      <c r="F64" s="34"/>
      <c r="H64" s="56" t="s">
        <v>73</v>
      </c>
      <c r="I64" s="108">
        <v>0.08</v>
      </c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2:19" ht="14.25" customHeight="1">
      <c r="B65" s="103" t="s">
        <v>43</v>
      </c>
      <c r="C65" s="104"/>
      <c r="D65" s="32">
        <f>'Armada - Diurna 12 x36 hs'!D63</f>
        <v>1.6180555555555555E-4</v>
      </c>
      <c r="E65" s="33">
        <f>IF($E$25="","",D65*$E$25)</f>
        <v>0.6353557352146465</v>
      </c>
      <c r="F65" s="34"/>
      <c r="H65" s="56" t="s">
        <v>44</v>
      </c>
      <c r="I65" s="143">
        <v>0.02</v>
      </c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2:19" ht="14.25" customHeight="1">
      <c r="B66" s="103" t="s">
        <v>45</v>
      </c>
      <c r="C66" s="104"/>
      <c r="D66" s="32"/>
      <c r="E66" s="33" t="s">
        <v>46</v>
      </c>
      <c r="F66" s="34"/>
      <c r="H66" s="56"/>
      <c r="I66" s="143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2:19" ht="14.25" customHeight="1" thickBot="1">
      <c r="B67" s="469" t="s">
        <v>47</v>
      </c>
      <c r="C67" s="475"/>
      <c r="D67" s="470"/>
      <c r="E67" s="35">
        <f>IF(E25="","",SUM(E61:E66))</f>
        <v>2.917182684689394</v>
      </c>
      <c r="F67" s="31"/>
      <c r="H67" s="56"/>
      <c r="I67" s="143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2:19" ht="14.25" customHeight="1" thickBot="1">
      <c r="B68" s="501" t="s">
        <v>48</v>
      </c>
      <c r="C68" s="502"/>
      <c r="D68" s="503">
        <f>SUM(D65:D67)</f>
        <v>1.6180555555555555E-4</v>
      </c>
      <c r="E68" s="39">
        <f>IF(E25="","",E67*D42)</f>
        <v>1.0297654876953564</v>
      </c>
      <c r="F68" s="3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2:19" ht="14.25" customHeight="1" thickBot="1">
      <c r="B69" s="465" t="s">
        <v>49</v>
      </c>
      <c r="C69" s="466"/>
      <c r="D69" s="467"/>
      <c r="E69" s="40">
        <f>IF(E25="","",E67+E68)</f>
        <v>3.9469481723847504</v>
      </c>
      <c r="F69" s="31"/>
      <c r="H69" s="4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2:19" ht="14.25" customHeight="1" thickBot="1">
      <c r="H70" s="4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2:19" ht="14.25" customHeight="1" thickBot="1">
      <c r="B71" s="454" t="s">
        <v>50</v>
      </c>
      <c r="C71" s="455"/>
      <c r="D71" s="455"/>
      <c r="E71" s="456"/>
      <c r="F71" s="25"/>
      <c r="H71" s="36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2:19" ht="14.25" customHeight="1">
      <c r="B72" s="457" t="s">
        <v>89</v>
      </c>
      <c r="C72" s="458"/>
      <c r="D72" s="459"/>
      <c r="E72" s="96">
        <f>Uniformes!H15</f>
        <v>35.333075000000001</v>
      </c>
      <c r="F72" s="29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2:19" ht="14.25" customHeight="1">
      <c r="B73" s="42" t="s">
        <v>51</v>
      </c>
      <c r="C73" s="43"/>
      <c r="D73" s="44"/>
      <c r="E73" s="179">
        <f>Equipamentos!H10+Equipamentos!H19+Equipamentos!H28</f>
        <v>33.761866875000003</v>
      </c>
      <c r="F73" s="29"/>
      <c r="H73" s="474"/>
      <c r="I73" s="474"/>
      <c r="J73" s="1"/>
      <c r="O73" s="1"/>
      <c r="P73" s="1"/>
      <c r="Q73" s="1"/>
      <c r="R73" s="1"/>
      <c r="S73" s="1"/>
    </row>
    <row r="74" spans="2:19" ht="14.25" customHeight="1" thickBot="1">
      <c r="B74" s="460" t="s">
        <v>52</v>
      </c>
      <c r="C74" s="461"/>
      <c r="D74" s="462"/>
      <c r="E74" s="30">
        <f>IF(E25="","",SUM(E72:E73))</f>
        <v>69.094941875000004</v>
      </c>
      <c r="F74" s="31"/>
      <c r="H74" s="1"/>
      <c r="I74" s="1"/>
      <c r="J74" s="1"/>
      <c r="O74" s="1"/>
      <c r="P74" s="1"/>
      <c r="Q74" s="1"/>
      <c r="R74" s="1"/>
      <c r="S74" s="1"/>
    </row>
    <row r="75" spans="2:19" ht="14.25" customHeight="1" thickBot="1">
      <c r="H75" s="1"/>
      <c r="I75" s="1"/>
      <c r="J75" s="1"/>
      <c r="O75" s="66"/>
      <c r="P75" s="1"/>
      <c r="Q75" s="1"/>
      <c r="R75" s="1"/>
      <c r="S75" s="1"/>
    </row>
    <row r="76" spans="2:19" ht="14.25" customHeight="1" thickBot="1">
      <c r="B76" s="454" t="s">
        <v>53</v>
      </c>
      <c r="C76" s="455"/>
      <c r="D76" s="455"/>
      <c r="E76" s="456"/>
      <c r="F76" s="25"/>
      <c r="H76" s="1"/>
      <c r="I76" s="1"/>
      <c r="J76" s="1"/>
      <c r="O76" s="66"/>
      <c r="P76" s="1"/>
      <c r="Q76" s="1"/>
      <c r="R76" s="1"/>
      <c r="S76" s="1"/>
    </row>
    <row r="77" spans="2:19" ht="14.25" customHeight="1">
      <c r="B77" s="45" t="s">
        <v>54</v>
      </c>
      <c r="C77" s="46"/>
      <c r="D77" s="37">
        <v>0.01</v>
      </c>
      <c r="E77" s="47">
        <f>IF($E$25="","",($E$25+$E$49+$E$58+$E$69+$E$74)*$D$77)</f>
        <v>73.407832463476169</v>
      </c>
      <c r="F77" s="34"/>
      <c r="I77" s="1"/>
      <c r="J77" s="1"/>
      <c r="O77" s="66"/>
      <c r="P77" s="1"/>
      <c r="Q77" s="1"/>
      <c r="R77" s="36"/>
      <c r="S77" s="1"/>
    </row>
    <row r="78" spans="2:19" ht="14.25" customHeight="1">
      <c r="B78" s="48" t="s">
        <v>55</v>
      </c>
      <c r="C78" s="49"/>
      <c r="D78" s="32">
        <v>0.03</v>
      </c>
      <c r="E78" s="47">
        <f>IF($E$25="","",($D$78*($E$25+$E$49+$E$58+$E$69+$E$74+$E$77+$E$81)/(1-SUM($D$78:$D$80))))</f>
        <v>245.10337374209419</v>
      </c>
      <c r="F78" s="34"/>
      <c r="H78" s="1"/>
      <c r="I78" s="1"/>
      <c r="J78" s="1"/>
      <c r="O78" s="66"/>
      <c r="P78" s="1"/>
      <c r="Q78" s="1"/>
      <c r="R78" s="1"/>
      <c r="S78" s="1"/>
    </row>
    <row r="79" spans="2:19" ht="14.25" customHeight="1">
      <c r="B79" s="103" t="s">
        <v>56</v>
      </c>
      <c r="C79" s="104"/>
      <c r="D79" s="32">
        <v>6.4999999999999997E-3</v>
      </c>
      <c r="E79" s="47">
        <f>IF($E$25="","",($D$79*($E$25+$E$49+$E$58+$E$69+$E$74+$E$77+$E$81)/(1-SUM($D$78:$D$80))))</f>
        <v>53.105730977453746</v>
      </c>
      <c r="F79" s="34"/>
      <c r="H79" s="1"/>
      <c r="I79" s="1"/>
      <c r="J79" s="1"/>
      <c r="O79" s="66"/>
      <c r="P79" s="1"/>
      <c r="Q79" s="1"/>
      <c r="R79" s="36"/>
      <c r="S79" s="1"/>
    </row>
    <row r="80" spans="2:19" ht="14.25" customHeight="1">
      <c r="B80" s="103" t="s">
        <v>57</v>
      </c>
      <c r="C80" s="104"/>
      <c r="D80" s="37">
        <v>0.05</v>
      </c>
      <c r="E80" s="47">
        <f>IF($E$25="","",($D$80*($E$25+$E$49+$E$58+$E$69+$E$74+$E$77+$E$81)/(1-SUM($D$78:$D$80))))</f>
        <v>408.5056229034904</v>
      </c>
      <c r="F80" s="34"/>
      <c r="H80" s="1"/>
      <c r="I80" s="1"/>
      <c r="J80" s="1"/>
      <c r="O80" s="66"/>
      <c r="P80" s="1"/>
      <c r="Q80" s="1"/>
      <c r="R80" s="36"/>
      <c r="S80" s="1"/>
    </row>
    <row r="81" spans="2:19" ht="14.25" customHeight="1">
      <c r="B81" s="103" t="s">
        <v>58</v>
      </c>
      <c r="C81" s="104"/>
      <c r="D81" s="37">
        <v>6.6368199999999999E-3</v>
      </c>
      <c r="E81" s="47">
        <f>IF($E$25="","",($E$25+$E$49+$E$58+$E$69+$E$74+$E$77)*$D$81)</f>
        <v>49.206651635675044</v>
      </c>
      <c r="F81" s="34"/>
      <c r="H81" s="1"/>
      <c r="I81" s="1"/>
      <c r="J81" s="1"/>
      <c r="O81" s="66"/>
      <c r="P81" s="1"/>
      <c r="Q81" s="1"/>
      <c r="R81" s="36"/>
      <c r="S81" s="1"/>
    </row>
    <row r="82" spans="2:19" ht="14.25" customHeight="1" thickBot="1">
      <c r="B82" s="460" t="s">
        <v>59</v>
      </c>
      <c r="C82" s="461"/>
      <c r="D82" s="462"/>
      <c r="E82" s="50">
        <f>IF(E25="","",SUM($E$77:$E$81))</f>
        <v>829.3292117221896</v>
      </c>
      <c r="F82" s="31"/>
      <c r="H82" s="1"/>
      <c r="I82" s="1"/>
      <c r="J82" s="1"/>
      <c r="K82" s="75"/>
      <c r="L82" s="74"/>
      <c r="O82" s="66"/>
      <c r="P82" s="1"/>
      <c r="Q82" s="1"/>
      <c r="R82" s="36"/>
      <c r="S82" s="1"/>
    </row>
    <row r="83" spans="2:19" ht="14.25" customHeight="1" thickBot="1">
      <c r="H83" s="1"/>
      <c r="I83" s="1"/>
      <c r="K83" s="75"/>
      <c r="O83" s="66"/>
      <c r="P83" s="1"/>
      <c r="Q83" s="1"/>
      <c r="R83" s="1"/>
      <c r="S83" s="1"/>
    </row>
    <row r="84" spans="2:19" ht="14.25" customHeight="1" thickBot="1">
      <c r="B84" s="463" t="s">
        <v>60</v>
      </c>
      <c r="C84" s="464"/>
      <c r="D84" s="464"/>
      <c r="E84" s="51">
        <f>E25+E49+E58+E69+E74+E82</f>
        <v>8170.112458069807</v>
      </c>
      <c r="F84" s="31"/>
      <c r="H84" s="286"/>
      <c r="I84" s="306"/>
      <c r="J84" s="1"/>
      <c r="K84" s="73"/>
      <c r="O84" s="66"/>
      <c r="P84" s="1"/>
      <c r="Q84" s="1"/>
      <c r="R84" s="1"/>
      <c r="S84" s="1"/>
    </row>
    <row r="85" spans="2:19" ht="14.25" customHeight="1" thickBot="1">
      <c r="H85" s="1"/>
      <c r="I85" s="1"/>
      <c r="O85" s="67"/>
    </row>
    <row r="86" spans="2:19" ht="14.25" customHeight="1" thickBot="1">
      <c r="B86" s="452" t="s">
        <v>61</v>
      </c>
      <c r="C86" s="453"/>
      <c r="D86" s="453"/>
      <c r="E86" s="52">
        <f>E84*E12</f>
        <v>163402.24916139615</v>
      </c>
      <c r="F86" s="31"/>
      <c r="O86" s="67"/>
    </row>
    <row r="87" spans="2:19" ht="14.25" customHeight="1">
      <c r="B87" s="107"/>
      <c r="C87" s="107"/>
      <c r="D87" s="53"/>
      <c r="E87" s="54"/>
      <c r="F87" s="55"/>
      <c r="G87" s="54"/>
      <c r="H87" s="54"/>
      <c r="O87" s="67"/>
    </row>
    <row r="88" spans="2:19" ht="14.25" customHeight="1">
      <c r="B88" s="3" t="s">
        <v>62</v>
      </c>
      <c r="D88" s="180">
        <f>IF(E25="","-",E84/E25)</f>
        <v>2.0806762447540366</v>
      </c>
      <c r="E88" s="3" t="str">
        <f>IF(E25="","a ser calculado",IF(D88&lt;=2.7,"OK","Superior a 2,7 --- Reavaliar planilha"))</f>
        <v>OK</v>
      </c>
      <c r="O88" s="67"/>
    </row>
    <row r="89" spans="2:19" ht="14.25" customHeight="1">
      <c r="B89" s="436" t="s">
        <v>181</v>
      </c>
      <c r="C89" s="436"/>
      <c r="D89" s="436"/>
      <c r="E89" s="436"/>
      <c r="O89" s="67"/>
    </row>
    <row r="90" spans="2:19" ht="14.25" customHeight="1">
      <c r="O90" s="67"/>
    </row>
    <row r="91" spans="2:19" ht="14.25" customHeight="1">
      <c r="O91" s="67"/>
    </row>
    <row r="92" spans="2:19" ht="14.25" customHeight="1">
      <c r="O92" s="67"/>
      <c r="P92" s="65"/>
    </row>
    <row r="93" spans="2:19" ht="14.25" customHeight="1">
      <c r="P93" s="65"/>
    </row>
    <row r="95" spans="2:19" ht="14.25" customHeight="1">
      <c r="L95" s="65"/>
    </row>
  </sheetData>
  <sheetProtection formatColumns="0" formatRows="0"/>
  <mergeCells count="52">
    <mergeCell ref="B89:E89"/>
    <mergeCell ref="B43:E43"/>
    <mergeCell ref="B76:E76"/>
    <mergeCell ref="B82:D82"/>
    <mergeCell ref="B84:D84"/>
    <mergeCell ref="B86:D86"/>
    <mergeCell ref="B44:D44"/>
    <mergeCell ref="B45:D45"/>
    <mergeCell ref="B48:D48"/>
    <mergeCell ref="B49:D49"/>
    <mergeCell ref="B51:E51"/>
    <mergeCell ref="B46:D46"/>
    <mergeCell ref="B47:D47"/>
    <mergeCell ref="H73:I73"/>
    <mergeCell ref="B74:D74"/>
    <mergeCell ref="I52:I53"/>
    <mergeCell ref="H54:H56"/>
    <mergeCell ref="I54:I56"/>
    <mergeCell ref="B58:D58"/>
    <mergeCell ref="B60:E60"/>
    <mergeCell ref="B67:D67"/>
    <mergeCell ref="H52:H53"/>
    <mergeCell ref="B68:D68"/>
    <mergeCell ref="B69:D69"/>
    <mergeCell ref="B71:E71"/>
    <mergeCell ref="B72:D72"/>
    <mergeCell ref="I40:I42"/>
    <mergeCell ref="C17:D17"/>
    <mergeCell ref="C18:D18"/>
    <mergeCell ref="B20:E20"/>
    <mergeCell ref="L22:M22"/>
    <mergeCell ref="B25:D25"/>
    <mergeCell ref="K26:L26"/>
    <mergeCell ref="H40:H42"/>
    <mergeCell ref="B42:C42"/>
    <mergeCell ref="B23:C23"/>
    <mergeCell ref="B27:E27"/>
    <mergeCell ref="B28:E28"/>
    <mergeCell ref="B32:D32"/>
    <mergeCell ref="B33:E33"/>
    <mergeCell ref="C16:D16"/>
    <mergeCell ref="B2:E2"/>
    <mergeCell ref="B4:E4"/>
    <mergeCell ref="B5:D5"/>
    <mergeCell ref="B6:D6"/>
    <mergeCell ref="B7:D7"/>
    <mergeCell ref="B8:D8"/>
    <mergeCell ref="B10:E10"/>
    <mergeCell ref="B11:C11"/>
    <mergeCell ref="B12:C12"/>
    <mergeCell ref="B14:E14"/>
    <mergeCell ref="C15:D15"/>
  </mergeCells>
  <dataValidations count="9">
    <dataValidation operator="lessThanOrEqual" showInputMessage="1" errorTitle="Valor inválido" error="Máximo aceito = 5%" sqref="D77"/>
    <dataValidation type="decimal" allowBlank="1" showInputMessage="1" showErrorMessage="1" errorTitle="Valor inválido" error="Mínimo aceito = 2%_x000a_Máximo aceito = 5%" sqref="D80">
      <formula1>0.02</formula1>
      <formula2>0.05</formula2>
    </dataValidation>
    <dataValidation type="decimal" operator="lessThanOrEqual" allowBlank="1" showInputMessage="1" showErrorMessage="1" errorTitle="Valor inválido" error="Máximo aceito = 6%" sqref="D40">
      <formula1>0.06</formula1>
    </dataValidation>
    <dataValidation type="decimal" operator="lessThanOrEqual" allowBlank="1" showInputMessage="1" showErrorMessage="1" errorTitle="Valor inválido" error="Deve ser igual ou inferior a 2,00% (Ref.: IBGE)" sqref="I65">
      <formula1>0.02</formula1>
    </dataValidation>
    <dataValidation type="decimal" operator="lessThanOrEqual" allowBlank="1" showInputMessage="1" showErrorMessage="1" errorTitle="Valor inválido" error="Deve ser igual ou inferior a 8,00% (Ref.: IBGE)" sqref="I64">
      <formula1>0.08</formula1>
    </dataValidation>
    <dataValidation type="decimal" operator="lessThanOrEqual" allowBlank="1" showInputMessage="1" showErrorMessage="1" errorTitle="Valor inválido" error="Deve ser igual ou inferior a 1,50% (Ref.: IBGE)" sqref="I63">
      <formula1>0.015</formula1>
    </dataValidation>
    <dataValidation type="decimal" operator="lessThanOrEqual" allowBlank="1" showInputMessage="1" showErrorMessage="1" errorTitle="Valor inválido" error="Deve ser igual ou inferior a 5,55 (Ref.: TCU)" sqref="I52">
      <formula1>0.0555</formula1>
    </dataValidation>
    <dataValidation type="decimal" operator="lessThanOrEqual" allowBlank="1" showInputMessage="1" showErrorMessage="1" errorTitle="Valor inválido" error="Deve ser igual ou inferior a 5,96 (Ref.: IBGE)" sqref="I62">
      <formula1>5.96</formula1>
    </dataValidation>
    <dataValidation type="list" allowBlank="1" showInputMessage="1" showErrorMessage="1" sqref="H12">
      <formula1>$J$2:$J$3</formula1>
    </dataValidation>
  </dataValidations>
  <pageMargins left="0.25" right="0.25" top="0.75" bottom="0.75" header="0.3" footer="0.3"/>
  <pageSetup paperSize="9" scale="58" orientation="portrait" verticalDpi="300" r:id="rId1"/>
  <headerFooter>
    <oddHeader>&amp;CProcesso Administrativo Nº 09013.000267/2019-41
ANEXO II DO TR
Planilha de Composição de Custos</oddHead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showGridLines="0" view="pageBreakPreview" zoomScale="110" zoomScaleNormal="100" zoomScaleSheetLayoutView="110" workbookViewId="0">
      <selection activeCell="G22" sqref="G22"/>
    </sheetView>
  </sheetViews>
  <sheetFormatPr defaultRowHeight="15"/>
  <cols>
    <col min="1" max="1" width="49.28515625" bestFit="1" customWidth="1"/>
    <col min="2" max="4" width="12.140625" customWidth="1"/>
    <col min="5" max="5" width="13.28515625" customWidth="1"/>
    <col min="7" max="7" width="14.42578125" customWidth="1"/>
    <col min="8" max="8" width="12.85546875" customWidth="1"/>
  </cols>
  <sheetData>
    <row r="1" spans="1:8" ht="15.75" thickBot="1">
      <c r="A1" s="85"/>
      <c r="B1" s="85"/>
      <c r="C1" s="85"/>
      <c r="D1" s="85"/>
      <c r="E1" t="s">
        <v>302</v>
      </c>
      <c r="F1" s="362">
        <v>4.82E-2</v>
      </c>
    </row>
    <row r="2" spans="1:8">
      <c r="A2" s="543" t="s">
        <v>135</v>
      </c>
      <c r="B2" s="543"/>
      <c r="C2" s="543"/>
      <c r="D2" s="543"/>
      <c r="E2" s="543"/>
      <c r="F2" s="543"/>
      <c r="G2" s="355"/>
      <c r="H2" s="355"/>
    </row>
    <row r="3" spans="1:8" ht="36" customHeight="1">
      <c r="A3" s="86" t="s">
        <v>103</v>
      </c>
      <c r="B3" s="86" t="s">
        <v>98</v>
      </c>
      <c r="C3" s="88" t="s">
        <v>101</v>
      </c>
      <c r="D3" s="88" t="s">
        <v>100</v>
      </c>
      <c r="E3" s="88" t="s">
        <v>144</v>
      </c>
      <c r="F3" s="88" t="s">
        <v>145</v>
      </c>
      <c r="G3" s="88" t="s">
        <v>296</v>
      </c>
      <c r="H3" s="88" t="s">
        <v>297</v>
      </c>
    </row>
    <row r="4" spans="1:8" ht="28.5" customHeight="1">
      <c r="A4" s="154" t="s">
        <v>138</v>
      </c>
      <c r="B4" s="151">
        <v>500</v>
      </c>
      <c r="C4" s="356">
        <f>[5]Equipamentos!$C$4</f>
        <v>60</v>
      </c>
      <c r="D4" s="357">
        <f t="shared" ref="D4:D9" si="0">IF(B4="","",B4/C4)</f>
        <v>8.3333333333333339</v>
      </c>
      <c r="E4" s="150">
        <v>1</v>
      </c>
      <c r="F4" s="152">
        <f t="shared" ref="F4:F9" si="1">D4/E4</f>
        <v>8.3333333333333339</v>
      </c>
      <c r="G4" s="152">
        <f t="shared" ref="G4:G9" si="2">(D4*$F$1)+D4</f>
        <v>8.7350000000000012</v>
      </c>
      <c r="H4" s="152">
        <f t="shared" ref="H4:H9" si="3">G4/E4</f>
        <v>8.7350000000000012</v>
      </c>
    </row>
    <row r="5" spans="1:8" ht="28.5" customHeight="1">
      <c r="A5" s="150" t="s">
        <v>139</v>
      </c>
      <c r="B5" s="151">
        <v>70</v>
      </c>
      <c r="C5" s="356">
        <f>[5]Equipamentos!$C$5</f>
        <v>12</v>
      </c>
      <c r="D5" s="357">
        <f t="shared" si="0"/>
        <v>5.833333333333333</v>
      </c>
      <c r="E5" s="150">
        <v>1</v>
      </c>
      <c r="F5" s="152">
        <f t="shared" si="1"/>
        <v>5.833333333333333</v>
      </c>
      <c r="G5" s="152">
        <f t="shared" si="2"/>
        <v>6.1144999999999996</v>
      </c>
      <c r="H5" s="152">
        <f t="shared" si="3"/>
        <v>6.1144999999999996</v>
      </c>
    </row>
    <row r="6" spans="1:8" ht="28.5" customHeight="1">
      <c r="A6" s="154" t="s">
        <v>140</v>
      </c>
      <c r="B6" s="151">
        <v>3.5</v>
      </c>
      <c r="C6" s="356">
        <v>12</v>
      </c>
      <c r="D6" s="357">
        <f t="shared" si="0"/>
        <v>0.29166666666666669</v>
      </c>
      <c r="E6" s="150">
        <v>2</v>
      </c>
      <c r="F6" s="152">
        <f t="shared" si="1"/>
        <v>0.14583333333333334</v>
      </c>
      <c r="G6" s="152">
        <f t="shared" si="2"/>
        <v>0.30572500000000002</v>
      </c>
      <c r="H6" s="152">
        <f t="shared" si="3"/>
        <v>0.15286250000000001</v>
      </c>
    </row>
    <row r="7" spans="1:8" ht="28.5" customHeight="1">
      <c r="A7" s="154" t="s">
        <v>141</v>
      </c>
      <c r="B7" s="151">
        <v>0</v>
      </c>
      <c r="C7" s="356">
        <v>12</v>
      </c>
      <c r="D7" s="357">
        <f t="shared" si="0"/>
        <v>0</v>
      </c>
      <c r="E7" s="150">
        <v>2</v>
      </c>
      <c r="F7" s="152">
        <f t="shared" si="1"/>
        <v>0</v>
      </c>
      <c r="G7" s="152">
        <f t="shared" si="2"/>
        <v>0</v>
      </c>
      <c r="H7" s="152">
        <f t="shared" si="3"/>
        <v>0</v>
      </c>
    </row>
    <row r="8" spans="1:8">
      <c r="A8" s="154" t="s">
        <v>142</v>
      </c>
      <c r="B8" s="151">
        <v>1500</v>
      </c>
      <c r="C8" s="358">
        <v>60</v>
      </c>
      <c r="D8" s="142">
        <f t="shared" si="0"/>
        <v>25</v>
      </c>
      <c r="E8" s="150">
        <v>2</v>
      </c>
      <c r="F8" s="152">
        <f t="shared" si="1"/>
        <v>12.5</v>
      </c>
      <c r="G8" s="152">
        <f t="shared" si="2"/>
        <v>26.204999999999998</v>
      </c>
      <c r="H8" s="152">
        <f t="shared" si="3"/>
        <v>13.102499999999999</v>
      </c>
    </row>
    <row r="9" spans="1:8">
      <c r="A9" s="154" t="s">
        <v>143</v>
      </c>
      <c r="B9" s="151">
        <v>350</v>
      </c>
      <c r="C9" s="358">
        <v>60</v>
      </c>
      <c r="D9" s="142">
        <f t="shared" si="0"/>
        <v>5.833333333333333</v>
      </c>
      <c r="E9" s="150">
        <v>32</v>
      </c>
      <c r="F9" s="152">
        <f t="shared" si="1"/>
        <v>0.18229166666666666</v>
      </c>
      <c r="G9" s="152">
        <f t="shared" si="2"/>
        <v>6.1144999999999996</v>
      </c>
      <c r="H9" s="152">
        <f t="shared" si="3"/>
        <v>0.19107812499999999</v>
      </c>
    </row>
    <row r="10" spans="1:8">
      <c r="A10" s="545"/>
      <c r="B10" s="545"/>
      <c r="C10" s="545"/>
      <c r="D10" s="545"/>
      <c r="E10" s="545"/>
      <c r="F10" s="300">
        <f>SUM(F4:F9)</f>
        <v>26.994791666666668</v>
      </c>
      <c r="G10" s="300"/>
      <c r="H10" s="375">
        <f>SUM(H4:H9)</f>
        <v>28.295940625</v>
      </c>
    </row>
    <row r="13" spans="1:8">
      <c r="A13" s="544" t="s">
        <v>148</v>
      </c>
      <c r="B13" s="544"/>
      <c r="C13" s="544"/>
      <c r="D13" s="544"/>
      <c r="E13" s="544"/>
      <c r="F13" s="544"/>
      <c r="G13" s="355"/>
      <c r="H13" s="355"/>
    </row>
    <row r="14" spans="1:8" ht="36">
      <c r="A14" s="90" t="s">
        <v>103</v>
      </c>
      <c r="B14" s="86" t="s">
        <v>98</v>
      </c>
      <c r="C14" s="88" t="s">
        <v>101</v>
      </c>
      <c r="D14" s="89" t="s">
        <v>100</v>
      </c>
      <c r="E14" s="89" t="s">
        <v>144</v>
      </c>
      <c r="F14" s="359" t="s">
        <v>145</v>
      </c>
      <c r="G14" s="88" t="s">
        <v>296</v>
      </c>
      <c r="H14" s="88" t="s">
        <v>297</v>
      </c>
    </row>
    <row r="15" spans="1:8">
      <c r="A15" s="141" t="s">
        <v>146</v>
      </c>
      <c r="B15" s="151">
        <v>20</v>
      </c>
      <c r="C15" s="153">
        <v>12</v>
      </c>
      <c r="D15" s="142">
        <f>IF(B15="","",B15/C15)</f>
        <v>1.6666666666666667</v>
      </c>
      <c r="E15" s="150">
        <v>1</v>
      </c>
      <c r="F15" s="360">
        <f>D15/E15</f>
        <v>1.6666666666666667</v>
      </c>
      <c r="G15" s="152">
        <f>(D15*$F$1)+D15</f>
        <v>1.7470000000000001</v>
      </c>
      <c r="H15" s="152">
        <f>G15/E15</f>
        <v>1.7470000000000001</v>
      </c>
    </row>
    <row r="16" spans="1:8">
      <c r="A16" s="141" t="s">
        <v>147</v>
      </c>
      <c r="B16" s="151">
        <v>1000</v>
      </c>
      <c r="C16" s="153">
        <v>60</v>
      </c>
      <c r="D16" s="142">
        <f>IF(B16="","",B16/C16)</f>
        <v>16.666666666666668</v>
      </c>
      <c r="E16" s="150">
        <v>80</v>
      </c>
      <c r="F16" s="360">
        <f>D16/E16</f>
        <v>0.20833333333333334</v>
      </c>
      <c r="G16" s="152">
        <f>(D16*$F$1)+D16</f>
        <v>17.470000000000002</v>
      </c>
      <c r="H16" s="152">
        <f>G16/E16</f>
        <v>0.21837500000000004</v>
      </c>
    </row>
    <row r="17" spans="1:8">
      <c r="A17" s="141" t="s">
        <v>149</v>
      </c>
      <c r="B17" s="151">
        <v>6</v>
      </c>
      <c r="C17" s="153">
        <v>12</v>
      </c>
      <c r="D17" s="142">
        <f>IF(B17="","",B17/C17)</f>
        <v>0.5</v>
      </c>
      <c r="E17" s="150">
        <v>80</v>
      </c>
      <c r="F17" s="360">
        <f>D17/E17</f>
        <v>6.2500000000000003E-3</v>
      </c>
      <c r="G17" s="152">
        <f>(D17*$F$1)+D17</f>
        <v>0.52410000000000001</v>
      </c>
      <c r="H17" s="152">
        <f>G17/E17</f>
        <v>6.5512499999999998E-3</v>
      </c>
    </row>
    <row r="18" spans="1:8">
      <c r="A18" s="43" t="s">
        <v>165</v>
      </c>
      <c r="B18" s="163">
        <v>150</v>
      </c>
      <c r="C18" s="164">
        <v>60</v>
      </c>
      <c r="D18" s="142">
        <f>IF(B18="","",B18/C18)</f>
        <v>2.5</v>
      </c>
      <c r="E18" s="165">
        <v>2</v>
      </c>
      <c r="F18" s="360">
        <f>D18/E18</f>
        <v>1.25</v>
      </c>
      <c r="G18" s="152">
        <f>(D18*$F$1)+D18</f>
        <v>2.6204999999999998</v>
      </c>
      <c r="H18" s="152">
        <f>G18/E18</f>
        <v>1.3102499999999999</v>
      </c>
    </row>
    <row r="19" spans="1:8">
      <c r="A19" s="545"/>
      <c r="B19" s="545"/>
      <c r="C19" s="545"/>
      <c r="D19" s="545"/>
      <c r="E19" s="545"/>
      <c r="F19" s="361">
        <f>SUM(F15:F18)</f>
        <v>3.1312500000000001</v>
      </c>
      <c r="G19" s="301"/>
      <c r="H19" s="375">
        <f>SUM(H15:H18)</f>
        <v>3.28217625</v>
      </c>
    </row>
    <row r="21" spans="1:8">
      <c r="A21" s="544" t="s">
        <v>136</v>
      </c>
      <c r="B21" s="544"/>
      <c r="C21" s="544"/>
      <c r="D21" s="544"/>
      <c r="E21" s="544"/>
      <c r="F21" s="544"/>
      <c r="G21" s="355"/>
      <c r="H21" s="355"/>
    </row>
    <row r="22" spans="1:8" ht="36">
      <c r="A22" s="90" t="s">
        <v>103</v>
      </c>
      <c r="B22" s="86" t="s">
        <v>98</v>
      </c>
      <c r="C22" s="88" t="s">
        <v>101</v>
      </c>
      <c r="D22" s="89" t="s">
        <v>100</v>
      </c>
      <c r="E22" s="89" t="s">
        <v>144</v>
      </c>
      <c r="F22" s="359" t="s">
        <v>145</v>
      </c>
      <c r="G22" s="88" t="s">
        <v>296</v>
      </c>
      <c r="H22" s="88" t="s">
        <v>297</v>
      </c>
    </row>
    <row r="23" spans="1:8">
      <c r="A23" s="141" t="s">
        <v>151</v>
      </c>
      <c r="B23" s="110">
        <v>5</v>
      </c>
      <c r="C23" s="153">
        <v>12</v>
      </c>
      <c r="D23" s="142">
        <f>IF(B23="","",B23/C23)</f>
        <v>0.41666666666666669</v>
      </c>
      <c r="E23" s="150">
        <v>1</v>
      </c>
      <c r="F23" s="360">
        <f>D23/E23</f>
        <v>0.41666666666666669</v>
      </c>
      <c r="G23" s="152">
        <f>(D23*$F$1)+D23</f>
        <v>0.43675000000000003</v>
      </c>
      <c r="H23" s="152">
        <f>G23/E23</f>
        <v>0.43675000000000003</v>
      </c>
    </row>
    <row r="24" spans="1:8">
      <c r="A24" s="141" t="s">
        <v>152</v>
      </c>
      <c r="B24" s="110">
        <v>40.127299999999998</v>
      </c>
      <c r="C24" s="153">
        <v>1</v>
      </c>
      <c r="D24" s="142">
        <f>IF(B24="","",B24/C24)</f>
        <v>40.127299999999998</v>
      </c>
      <c r="E24" s="150">
        <v>1</v>
      </c>
      <c r="F24" s="360">
        <f>D24/E24</f>
        <v>40.127299999999998</v>
      </c>
      <c r="G24" s="152">
        <f>(D24*$F$1)+D24</f>
        <v>42.061435859999996</v>
      </c>
      <c r="H24" s="376">
        <f>G24/E24</f>
        <v>42.061435859999996</v>
      </c>
    </row>
    <row r="26" spans="1:8">
      <c r="A26" s="544" t="s">
        <v>137</v>
      </c>
      <c r="B26" s="544"/>
      <c r="C26" s="544"/>
      <c r="D26" s="544"/>
      <c r="E26" s="544"/>
      <c r="F26" s="544"/>
      <c r="G26" s="355"/>
      <c r="H26" s="355"/>
    </row>
    <row r="27" spans="1:8" ht="36">
      <c r="A27" s="90" t="s">
        <v>103</v>
      </c>
      <c r="B27" s="86" t="s">
        <v>98</v>
      </c>
      <c r="C27" s="88" t="s">
        <v>101</v>
      </c>
      <c r="D27" s="89" t="s">
        <v>100</v>
      </c>
      <c r="E27" s="89" t="s">
        <v>144</v>
      </c>
      <c r="F27" s="359" t="s">
        <v>145</v>
      </c>
      <c r="G27" s="88" t="s">
        <v>296</v>
      </c>
      <c r="H27" s="88" t="s">
        <v>297</v>
      </c>
    </row>
    <row r="28" spans="1:8">
      <c r="A28" s="141" t="s">
        <v>150</v>
      </c>
      <c r="B28" s="110">
        <v>50</v>
      </c>
      <c r="C28" s="153">
        <v>12</v>
      </c>
      <c r="D28" s="142">
        <f>IF(B28="","",B28/C28)</f>
        <v>4.166666666666667</v>
      </c>
      <c r="E28" s="150">
        <v>2</v>
      </c>
      <c r="F28" s="360">
        <f>D28/E28</f>
        <v>2.0833333333333335</v>
      </c>
      <c r="G28" s="152">
        <f>(D28*$F$1)+D28</f>
        <v>4.3675000000000006</v>
      </c>
      <c r="H28" s="376">
        <f>(F28*$F$1)+F28</f>
        <v>2.1837500000000003</v>
      </c>
    </row>
    <row r="30" spans="1:8">
      <c r="A30" s="436" t="s">
        <v>181</v>
      </c>
      <c r="B30" s="436"/>
      <c r="C30" s="436"/>
      <c r="D30" s="436"/>
      <c r="E30" s="436"/>
      <c r="F30" s="436"/>
      <c r="G30" s="353"/>
      <c r="H30" s="353"/>
    </row>
  </sheetData>
  <sheetProtection selectLockedCells="1"/>
  <mergeCells count="7">
    <mergeCell ref="A30:F30"/>
    <mergeCell ref="A2:F2"/>
    <mergeCell ref="A13:F13"/>
    <mergeCell ref="A21:F21"/>
    <mergeCell ref="A26:F26"/>
    <mergeCell ref="A10:E10"/>
    <mergeCell ref="A19:E19"/>
  </mergeCells>
  <pageMargins left="0.511811024" right="0.511811024" top="0.78740157499999996" bottom="0.78740157499999996" header="0.31496062000000002" footer="0.31496062000000002"/>
  <pageSetup paperSize="9" orientation="landscape" verticalDpi="0" r:id="rId1"/>
  <headerFooter>
    <oddHeader>&amp;CProcesso Administrativo Nº 09013.000267/2019-41
ANEXO II DO TR
Planilha de Composição de Custos</oddHead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view="pageBreakPreview" zoomScale="90" zoomScaleNormal="100" zoomScaleSheetLayoutView="90" workbookViewId="0">
      <selection activeCell="K20" sqref="K20"/>
    </sheetView>
  </sheetViews>
  <sheetFormatPr defaultRowHeight="15"/>
  <cols>
    <col min="1" max="1" width="12.5703125" customWidth="1"/>
    <col min="2" max="2" width="37.5703125" customWidth="1"/>
    <col min="3" max="3" width="12.140625" customWidth="1"/>
    <col min="4" max="4" width="9.28515625" bestFit="1" customWidth="1"/>
    <col min="5" max="5" width="11.140625" bestFit="1" customWidth="1"/>
    <col min="6" max="6" width="13.28515625" customWidth="1"/>
    <col min="7" max="8" width="11.85546875" customWidth="1"/>
  </cols>
  <sheetData>
    <row r="1" spans="1:8">
      <c r="F1" t="s">
        <v>302</v>
      </c>
      <c r="G1" s="362">
        <v>4.82E-2</v>
      </c>
    </row>
    <row r="2" spans="1:8" ht="15.75" thickBot="1">
      <c r="A2" s="363"/>
      <c r="B2" s="363"/>
      <c r="C2" s="363"/>
      <c r="D2" s="363"/>
      <c r="E2" s="363"/>
      <c r="F2" s="363"/>
      <c r="G2" s="363"/>
      <c r="H2" s="363"/>
    </row>
    <row r="3" spans="1:8">
      <c r="A3" s="549" t="s">
        <v>153</v>
      </c>
      <c r="B3" s="550"/>
      <c r="C3" s="550"/>
      <c r="D3" s="550"/>
      <c r="E3" s="550"/>
      <c r="F3" s="550"/>
      <c r="G3" s="550"/>
      <c r="H3" s="551"/>
    </row>
    <row r="4" spans="1:8" ht="34.5" customHeight="1">
      <c r="A4" s="90" t="s">
        <v>96</v>
      </c>
      <c r="B4" s="86" t="s">
        <v>97</v>
      </c>
      <c r="C4" s="86" t="s">
        <v>98</v>
      </c>
      <c r="D4" s="86" t="s">
        <v>99</v>
      </c>
      <c r="E4" s="88" t="s">
        <v>101</v>
      </c>
      <c r="F4" s="359" t="s">
        <v>100</v>
      </c>
      <c r="G4" s="88" t="s">
        <v>296</v>
      </c>
      <c r="H4" s="89" t="s">
        <v>297</v>
      </c>
    </row>
    <row r="5" spans="1:8">
      <c r="A5" s="94">
        <v>1</v>
      </c>
      <c r="B5" s="154" t="s">
        <v>154</v>
      </c>
      <c r="C5" s="95">
        <v>29</v>
      </c>
      <c r="D5" s="91">
        <f>IF(C5="","",A5*C5)</f>
        <v>29</v>
      </c>
      <c r="E5" s="87">
        <v>6</v>
      </c>
      <c r="F5" s="364">
        <f>IF(D5="","",D5/E5)</f>
        <v>4.833333333333333</v>
      </c>
      <c r="G5" s="366">
        <f>(D5*$G$1)+D5</f>
        <v>30.3978</v>
      </c>
      <c r="H5" s="92">
        <f>G5/E5</f>
        <v>5.0663</v>
      </c>
    </row>
    <row r="6" spans="1:8">
      <c r="A6" s="94">
        <v>2</v>
      </c>
      <c r="B6" s="154" t="s">
        <v>155</v>
      </c>
      <c r="C6" s="95">
        <v>29</v>
      </c>
      <c r="D6" s="91">
        <f t="shared" ref="D6:D14" si="0">IF(C6="","",A6*C6)</f>
        <v>58</v>
      </c>
      <c r="E6" s="87">
        <v>6</v>
      </c>
      <c r="F6" s="364">
        <f t="shared" ref="F6:F14" si="1">IF(D6="","",D6/E6)</f>
        <v>9.6666666666666661</v>
      </c>
      <c r="G6" s="366">
        <f t="shared" ref="G6:G14" si="2">(D6*$G$1)+D6</f>
        <v>60.7956</v>
      </c>
      <c r="H6" s="92">
        <f t="shared" ref="H6:H14" si="3">G6/E6</f>
        <v>10.1326</v>
      </c>
    </row>
    <row r="7" spans="1:8">
      <c r="A7" s="94">
        <v>1</v>
      </c>
      <c r="B7" s="154" t="s">
        <v>156</v>
      </c>
      <c r="C7" s="95">
        <v>10</v>
      </c>
      <c r="D7" s="91">
        <f t="shared" si="0"/>
        <v>10</v>
      </c>
      <c r="E7" s="87">
        <v>6</v>
      </c>
      <c r="F7" s="364">
        <f t="shared" si="1"/>
        <v>1.6666666666666667</v>
      </c>
      <c r="G7" s="366">
        <f t="shared" si="2"/>
        <v>10.481999999999999</v>
      </c>
      <c r="H7" s="92">
        <f t="shared" si="3"/>
        <v>1.7469999999999999</v>
      </c>
    </row>
    <row r="8" spans="1:8">
      <c r="A8" s="94">
        <v>1</v>
      </c>
      <c r="B8" s="154" t="s">
        <v>157</v>
      </c>
      <c r="C8" s="95">
        <v>40</v>
      </c>
      <c r="D8" s="91">
        <f t="shared" si="0"/>
        <v>40</v>
      </c>
      <c r="E8" s="87">
        <v>6</v>
      </c>
      <c r="F8" s="364">
        <f t="shared" si="1"/>
        <v>6.666666666666667</v>
      </c>
      <c r="G8" s="366">
        <f t="shared" si="2"/>
        <v>41.927999999999997</v>
      </c>
      <c r="H8" s="92">
        <f t="shared" si="3"/>
        <v>6.9879999999999995</v>
      </c>
    </row>
    <row r="9" spans="1:8">
      <c r="A9" s="94">
        <v>2</v>
      </c>
      <c r="B9" s="154" t="s">
        <v>158</v>
      </c>
      <c r="C9" s="95">
        <v>3</v>
      </c>
      <c r="D9" s="91">
        <f t="shared" si="0"/>
        <v>6</v>
      </c>
      <c r="E9" s="87">
        <v>6</v>
      </c>
      <c r="F9" s="364">
        <f t="shared" si="1"/>
        <v>1</v>
      </c>
      <c r="G9" s="366">
        <f t="shared" si="2"/>
        <v>6.2892000000000001</v>
      </c>
      <c r="H9" s="92">
        <f t="shared" si="3"/>
        <v>1.0482</v>
      </c>
    </row>
    <row r="10" spans="1:8">
      <c r="A10" s="94">
        <v>1</v>
      </c>
      <c r="B10" s="154" t="s">
        <v>159</v>
      </c>
      <c r="C10" s="95">
        <v>8</v>
      </c>
      <c r="D10" s="91">
        <f t="shared" si="0"/>
        <v>8</v>
      </c>
      <c r="E10" s="87">
        <v>6</v>
      </c>
      <c r="F10" s="364">
        <f t="shared" si="1"/>
        <v>1.3333333333333333</v>
      </c>
      <c r="G10" s="366">
        <f t="shared" si="2"/>
        <v>8.3856000000000002</v>
      </c>
      <c r="H10" s="92">
        <f t="shared" si="3"/>
        <v>1.3976</v>
      </c>
    </row>
    <row r="11" spans="1:8">
      <c r="A11" s="94">
        <v>1</v>
      </c>
      <c r="B11" s="154" t="s">
        <v>160</v>
      </c>
      <c r="C11" s="95">
        <v>40</v>
      </c>
      <c r="D11" s="91">
        <f t="shared" si="0"/>
        <v>40</v>
      </c>
      <c r="E11" s="87">
        <v>6</v>
      </c>
      <c r="F11" s="364">
        <f t="shared" si="1"/>
        <v>6.666666666666667</v>
      </c>
      <c r="G11" s="366">
        <f t="shared" si="2"/>
        <v>41.927999999999997</v>
      </c>
      <c r="H11" s="92">
        <f t="shared" si="3"/>
        <v>6.9879999999999995</v>
      </c>
    </row>
    <row r="12" spans="1:8">
      <c r="A12" s="94">
        <v>1</v>
      </c>
      <c r="B12" s="154" t="s">
        <v>161</v>
      </c>
      <c r="C12" s="95">
        <v>10</v>
      </c>
      <c r="D12" s="91">
        <f t="shared" si="0"/>
        <v>10</v>
      </c>
      <c r="E12" s="87">
        <v>12</v>
      </c>
      <c r="F12" s="364">
        <f t="shared" si="1"/>
        <v>0.83333333333333337</v>
      </c>
      <c r="G12" s="366">
        <f t="shared" si="2"/>
        <v>10.481999999999999</v>
      </c>
      <c r="H12" s="92">
        <f t="shared" si="3"/>
        <v>0.87349999999999994</v>
      </c>
    </row>
    <row r="13" spans="1:8">
      <c r="A13" s="94">
        <v>1</v>
      </c>
      <c r="B13" s="154" t="s">
        <v>162</v>
      </c>
      <c r="C13" s="95">
        <v>10</v>
      </c>
      <c r="D13" s="91">
        <f t="shared" si="0"/>
        <v>10</v>
      </c>
      <c r="E13" s="87">
        <v>12</v>
      </c>
      <c r="F13" s="364">
        <f t="shared" si="1"/>
        <v>0.83333333333333337</v>
      </c>
      <c r="G13" s="366">
        <f t="shared" si="2"/>
        <v>10.481999999999999</v>
      </c>
      <c r="H13" s="92">
        <f t="shared" si="3"/>
        <v>0.87349999999999994</v>
      </c>
    </row>
    <row r="14" spans="1:8">
      <c r="A14" s="94">
        <v>1</v>
      </c>
      <c r="B14" s="154" t="s">
        <v>163</v>
      </c>
      <c r="C14" s="95">
        <v>2.5</v>
      </c>
      <c r="D14" s="91">
        <f t="shared" si="0"/>
        <v>2.5</v>
      </c>
      <c r="E14" s="87">
        <v>12</v>
      </c>
      <c r="F14" s="364">
        <f t="shared" si="1"/>
        <v>0.20833333333333334</v>
      </c>
      <c r="G14" s="366">
        <f t="shared" si="2"/>
        <v>2.6204999999999998</v>
      </c>
      <c r="H14" s="92">
        <f t="shared" si="3"/>
        <v>0.21837499999999999</v>
      </c>
    </row>
    <row r="15" spans="1:8" ht="15.75" thickBot="1">
      <c r="A15" s="546" t="s">
        <v>102</v>
      </c>
      <c r="B15" s="547"/>
      <c r="C15" s="547"/>
      <c r="D15" s="547"/>
      <c r="E15" s="548"/>
      <c r="F15" s="365">
        <f>SUM(F5:F14)</f>
        <v>33.708333333333343</v>
      </c>
      <c r="G15" s="368"/>
      <c r="H15" s="93">
        <f>SUM(H5:H14)</f>
        <v>35.333075000000001</v>
      </c>
    </row>
    <row r="17" spans="1:8" ht="15.75" thickBot="1"/>
    <row r="18" spans="1:8">
      <c r="A18" s="549" t="s">
        <v>174</v>
      </c>
      <c r="B18" s="550"/>
      <c r="C18" s="550"/>
      <c r="D18" s="550"/>
      <c r="E18" s="550"/>
      <c r="F18" s="550"/>
      <c r="G18" s="550"/>
      <c r="H18" s="551"/>
    </row>
    <row r="19" spans="1:8" ht="36">
      <c r="A19" s="90" t="s">
        <v>96</v>
      </c>
      <c r="B19" s="86" t="s">
        <v>97</v>
      </c>
      <c r="C19" s="86" t="s">
        <v>98</v>
      </c>
      <c r="D19" s="86" t="s">
        <v>99</v>
      </c>
      <c r="E19" s="88" t="s">
        <v>101</v>
      </c>
      <c r="F19" s="359" t="s">
        <v>100</v>
      </c>
      <c r="G19" s="88" t="s">
        <v>296</v>
      </c>
      <c r="H19" s="89" t="s">
        <v>297</v>
      </c>
    </row>
    <row r="20" spans="1:8">
      <c r="A20" s="5">
        <v>1</v>
      </c>
      <c r="B20" s="166" t="s">
        <v>173</v>
      </c>
      <c r="C20" s="95">
        <v>100</v>
      </c>
      <c r="D20" s="91">
        <f>IF(C20="","",A20*C20)</f>
        <v>100</v>
      </c>
      <c r="E20" s="87">
        <v>6</v>
      </c>
      <c r="F20" s="364">
        <f>IF(D20="","",D20/E20)</f>
        <v>16.666666666666668</v>
      </c>
      <c r="G20" s="366">
        <f>(D20*$G$1)+D20</f>
        <v>104.82</v>
      </c>
      <c r="H20" s="92">
        <f>G20/E20</f>
        <v>17.47</v>
      </c>
    </row>
    <row r="21" spans="1:8" ht="24">
      <c r="A21" s="5">
        <v>1</v>
      </c>
      <c r="B21" s="167" t="s">
        <v>167</v>
      </c>
      <c r="C21" s="95">
        <v>30</v>
      </c>
      <c r="D21" s="91">
        <f>IF(C21="","",A21*C21)</f>
        <v>30</v>
      </c>
      <c r="E21" s="87">
        <v>6</v>
      </c>
      <c r="F21" s="364">
        <f>IF(D21="","",D21/E21)</f>
        <v>5</v>
      </c>
      <c r="G21" s="366">
        <f>(D21*$G$1)+D21</f>
        <v>31.446000000000002</v>
      </c>
      <c r="H21" s="92">
        <f>G21/E21</f>
        <v>5.2410000000000005</v>
      </c>
    </row>
    <row r="22" spans="1:8">
      <c r="A22" s="5">
        <v>2</v>
      </c>
      <c r="B22" s="167" t="s">
        <v>176</v>
      </c>
      <c r="C22" s="95">
        <v>30</v>
      </c>
      <c r="D22" s="91">
        <f>IF(C22="","",A22*C22)</f>
        <v>60</v>
      </c>
      <c r="E22" s="87">
        <v>6</v>
      </c>
      <c r="F22" s="364">
        <f>IF(D22="","",D22/E22)</f>
        <v>10</v>
      </c>
      <c r="G22" s="366">
        <f>(D22*$G$1)+D22</f>
        <v>62.892000000000003</v>
      </c>
      <c r="H22" s="92">
        <f>G22/E22</f>
        <v>10.482000000000001</v>
      </c>
    </row>
    <row r="23" spans="1:8">
      <c r="A23" s="5">
        <v>1</v>
      </c>
      <c r="B23" s="167" t="s">
        <v>168</v>
      </c>
      <c r="C23" s="95">
        <v>40</v>
      </c>
      <c r="D23" s="91">
        <f>IF(C23="","",A23*C23)</f>
        <v>40</v>
      </c>
      <c r="E23" s="87">
        <v>6</v>
      </c>
      <c r="F23" s="364">
        <f>IF(D23="","",D23/E23)</f>
        <v>6.666666666666667</v>
      </c>
      <c r="G23" s="366">
        <f>(D23*$G$1)+D23</f>
        <v>41.927999999999997</v>
      </c>
      <c r="H23" s="92">
        <f>G23/E23</f>
        <v>6.9879999999999995</v>
      </c>
    </row>
    <row r="24" spans="1:8">
      <c r="A24" s="5">
        <v>2</v>
      </c>
      <c r="B24" s="167" t="s">
        <v>169</v>
      </c>
      <c r="C24" s="95">
        <v>5</v>
      </c>
      <c r="D24" s="91">
        <f>IF(C24="","",A24*C24)</f>
        <v>10</v>
      </c>
      <c r="E24" s="87">
        <v>6</v>
      </c>
      <c r="F24" s="364">
        <f>IF(D24="","",D24/E24)</f>
        <v>1.6666666666666667</v>
      </c>
      <c r="G24" s="366">
        <f>(D24*$G$1)+D24</f>
        <v>10.481999999999999</v>
      </c>
      <c r="H24" s="92">
        <f>G24/E24</f>
        <v>1.7469999999999999</v>
      </c>
    </row>
    <row r="25" spans="1:8" ht="15.75" thickBot="1">
      <c r="A25" s="546" t="s">
        <v>102</v>
      </c>
      <c r="B25" s="547"/>
      <c r="C25" s="547"/>
      <c r="D25" s="547"/>
      <c r="E25" s="548"/>
      <c r="F25" s="365">
        <f>IF(F20="","",SUM(F20:F24))</f>
        <v>40</v>
      </c>
      <c r="G25" s="368"/>
      <c r="H25" s="93">
        <f>SUM(H20:H24)</f>
        <v>41.927999999999997</v>
      </c>
    </row>
    <row r="26" spans="1:8" ht="15.75" thickBot="1"/>
    <row r="27" spans="1:8">
      <c r="A27" s="549" t="s">
        <v>175</v>
      </c>
      <c r="B27" s="550"/>
      <c r="C27" s="550"/>
      <c r="D27" s="550"/>
      <c r="E27" s="550"/>
      <c r="F27" s="550"/>
      <c r="G27" s="550"/>
      <c r="H27" s="551"/>
    </row>
    <row r="28" spans="1:8" ht="36">
      <c r="A28" s="90" t="s">
        <v>96</v>
      </c>
      <c r="B28" s="86" t="s">
        <v>97</v>
      </c>
      <c r="C28" s="86" t="s">
        <v>98</v>
      </c>
      <c r="D28" s="86" t="s">
        <v>99</v>
      </c>
      <c r="E28" s="88" t="s">
        <v>101</v>
      </c>
      <c r="F28" s="359" t="s">
        <v>100</v>
      </c>
      <c r="G28" s="88" t="s">
        <v>296</v>
      </c>
      <c r="H28" s="89" t="s">
        <v>297</v>
      </c>
    </row>
    <row r="29" spans="1:8">
      <c r="A29" s="5">
        <v>1</v>
      </c>
      <c r="B29" s="166" t="s">
        <v>173</v>
      </c>
      <c r="C29" s="95">
        <v>100</v>
      </c>
      <c r="D29" s="91">
        <f>IF(C29="","",A29*C29)</f>
        <v>100</v>
      </c>
      <c r="E29" s="87">
        <v>6</v>
      </c>
      <c r="F29" s="364">
        <f t="shared" ref="F29:F35" si="4">IF(D29="","",D29/E29)</f>
        <v>16.666666666666668</v>
      </c>
      <c r="G29" s="366">
        <f>(D29*$G$1)+D29</f>
        <v>104.82</v>
      </c>
      <c r="H29" s="92">
        <f>G29/E29</f>
        <v>17.47</v>
      </c>
    </row>
    <row r="30" spans="1:8" ht="24">
      <c r="A30" s="5">
        <v>1</v>
      </c>
      <c r="B30" s="167" t="s">
        <v>167</v>
      </c>
      <c r="C30" s="95">
        <v>30</v>
      </c>
      <c r="D30" s="91">
        <f t="shared" ref="D30:D35" si="5">IF(C30="","",A30*C30)</f>
        <v>30</v>
      </c>
      <c r="E30" s="87">
        <v>6</v>
      </c>
      <c r="F30" s="367">
        <f t="shared" si="4"/>
        <v>5</v>
      </c>
      <c r="G30" s="366">
        <f t="shared" ref="G30:G35" si="6">(D30*$G$1)+D30</f>
        <v>31.446000000000002</v>
      </c>
      <c r="H30" s="92">
        <f t="shared" ref="H30:H35" si="7">G30/E30</f>
        <v>5.2410000000000005</v>
      </c>
    </row>
    <row r="31" spans="1:8">
      <c r="A31" s="5">
        <v>2</v>
      </c>
      <c r="B31" s="167" t="s">
        <v>176</v>
      </c>
      <c r="C31" s="95">
        <v>30</v>
      </c>
      <c r="D31" s="91">
        <f t="shared" si="5"/>
        <v>60</v>
      </c>
      <c r="E31" s="87">
        <v>6</v>
      </c>
      <c r="F31" s="364">
        <f t="shared" si="4"/>
        <v>10</v>
      </c>
      <c r="G31" s="366">
        <f t="shared" si="6"/>
        <v>62.892000000000003</v>
      </c>
      <c r="H31" s="92">
        <f t="shared" si="7"/>
        <v>10.482000000000001</v>
      </c>
    </row>
    <row r="32" spans="1:8">
      <c r="A32" s="5">
        <v>1</v>
      </c>
      <c r="B32" s="167" t="s">
        <v>170</v>
      </c>
      <c r="C32" s="95">
        <v>40</v>
      </c>
      <c r="D32" s="91">
        <f>IF(C32="","",A32*C32)</f>
        <v>40</v>
      </c>
      <c r="E32" s="87">
        <v>6</v>
      </c>
      <c r="F32" s="364">
        <f t="shared" si="4"/>
        <v>6.666666666666667</v>
      </c>
      <c r="G32" s="366">
        <f t="shared" si="6"/>
        <v>41.927999999999997</v>
      </c>
      <c r="H32" s="92">
        <f t="shared" si="7"/>
        <v>6.9879999999999995</v>
      </c>
    </row>
    <row r="33" spans="1:8">
      <c r="A33" s="5">
        <v>2</v>
      </c>
      <c r="B33" s="167" t="s">
        <v>169</v>
      </c>
      <c r="C33" s="95">
        <v>2</v>
      </c>
      <c r="D33" s="91">
        <f>IF(C33="","",A33*C33)</f>
        <v>4</v>
      </c>
      <c r="E33" s="87">
        <v>6</v>
      </c>
      <c r="F33" s="364">
        <f t="shared" si="4"/>
        <v>0.66666666666666663</v>
      </c>
      <c r="G33" s="366">
        <f t="shared" si="6"/>
        <v>4.1928000000000001</v>
      </c>
      <c r="H33" s="92">
        <f t="shared" si="7"/>
        <v>0.69879999999999998</v>
      </c>
    </row>
    <row r="34" spans="1:8">
      <c r="A34" s="5">
        <v>1</v>
      </c>
      <c r="B34" s="167" t="s">
        <v>171</v>
      </c>
      <c r="C34" s="95">
        <v>10</v>
      </c>
      <c r="D34" s="91">
        <f t="shared" si="5"/>
        <v>10</v>
      </c>
      <c r="E34" s="87">
        <v>6</v>
      </c>
      <c r="F34" s="367">
        <f t="shared" si="4"/>
        <v>1.6666666666666667</v>
      </c>
      <c r="G34" s="366">
        <f t="shared" si="6"/>
        <v>10.481999999999999</v>
      </c>
      <c r="H34" s="92">
        <f t="shared" si="7"/>
        <v>1.7469999999999999</v>
      </c>
    </row>
    <row r="35" spans="1:8">
      <c r="A35" s="5">
        <v>1</v>
      </c>
      <c r="B35" s="167" t="s">
        <v>172</v>
      </c>
      <c r="C35" s="95">
        <v>10</v>
      </c>
      <c r="D35" s="91">
        <f t="shared" si="5"/>
        <v>10</v>
      </c>
      <c r="E35" s="87">
        <v>6</v>
      </c>
      <c r="F35" s="367">
        <f t="shared" si="4"/>
        <v>1.6666666666666667</v>
      </c>
      <c r="G35" s="366">
        <f t="shared" si="6"/>
        <v>10.481999999999999</v>
      </c>
      <c r="H35" s="92">
        <f t="shared" si="7"/>
        <v>1.7469999999999999</v>
      </c>
    </row>
    <row r="36" spans="1:8" ht="15.75" thickBot="1">
      <c r="A36" s="546" t="s">
        <v>102</v>
      </c>
      <c r="B36" s="547"/>
      <c r="C36" s="547"/>
      <c r="D36" s="547"/>
      <c r="E36" s="548"/>
      <c r="F36" s="365">
        <f>IF(F29="","",SUM(F29:F35))</f>
        <v>42.333333333333329</v>
      </c>
      <c r="G36" s="368"/>
      <c r="H36" s="93">
        <f>SUM(H29:H35)</f>
        <v>44.373799999999996</v>
      </c>
    </row>
    <row r="38" spans="1:8">
      <c r="A38" s="436" t="s">
        <v>181</v>
      </c>
      <c r="B38" s="436"/>
      <c r="C38" s="436"/>
      <c r="D38" s="436"/>
      <c r="E38" s="436"/>
      <c r="F38" s="436"/>
      <c r="G38" s="353"/>
      <c r="H38" s="353"/>
    </row>
  </sheetData>
  <sheetProtection selectLockedCells="1"/>
  <mergeCells count="7">
    <mergeCell ref="A38:F38"/>
    <mergeCell ref="A36:E36"/>
    <mergeCell ref="A15:E15"/>
    <mergeCell ref="A25:E25"/>
    <mergeCell ref="A3:H3"/>
    <mergeCell ref="A18:H18"/>
    <mergeCell ref="A27:H27"/>
  </mergeCells>
  <pageMargins left="0.511811024" right="0.511811024" top="0.78740157499999996" bottom="0.78740157499999996" header="0.31496062000000002" footer="0.31496062000000002"/>
  <pageSetup paperSize="9" scale="71" orientation="portrait" verticalDpi="0" r:id="rId1"/>
  <headerFooter>
    <oddHeader>&amp;CProcesso Administrativo Nº 09013.000267/2019-41
ANEXO II DO TR
Planilha de Composição de Custos</oddHeader>
  </headerFooter>
  <ignoredErrors>
    <ignoredError sqref="F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R49"/>
  <sheetViews>
    <sheetView showGridLines="0" zoomScaleNormal="100" workbookViewId="0">
      <selection activeCell="K20" sqref="K20"/>
    </sheetView>
  </sheetViews>
  <sheetFormatPr defaultRowHeight="12.75"/>
  <cols>
    <col min="1" max="1" width="21.7109375" style="307" customWidth="1"/>
    <col min="2" max="2" width="10.5703125" style="307" hidden="1" customWidth="1"/>
    <col min="3" max="3" width="12.7109375" style="61" customWidth="1"/>
    <col min="4" max="4" width="13.28515625" style="307" customWidth="1"/>
    <col min="5" max="5" width="12.140625" style="307" customWidth="1"/>
    <col min="6" max="6" width="11" style="307" customWidth="1"/>
    <col min="7" max="7" width="12.28515625" style="307" customWidth="1"/>
    <col min="8" max="8" width="12.5703125" style="61" customWidth="1"/>
    <col min="9" max="9" width="15.140625" style="61" customWidth="1"/>
    <col min="10" max="10" width="16.5703125" style="61" hidden="1" customWidth="1"/>
    <col min="11" max="11" width="11.42578125" style="307" bestFit="1" customWidth="1"/>
    <col min="12" max="12" width="9.140625" style="307"/>
    <col min="13" max="13" width="21" style="307" hidden="1" customWidth="1"/>
    <col min="14" max="14" width="12.42578125" style="307" hidden="1" customWidth="1"/>
    <col min="15" max="15" width="17" style="307" hidden="1" customWidth="1"/>
    <col min="16" max="16" width="16.28515625" style="307" hidden="1" customWidth="1"/>
    <col min="17" max="17" width="22.28515625" style="307" hidden="1" customWidth="1"/>
    <col min="18" max="18" width="14.140625" style="307" bestFit="1" customWidth="1"/>
    <col min="19" max="16384" width="9.140625" style="307"/>
  </cols>
  <sheetData>
    <row r="1" spans="1:17">
      <c r="A1" s="437" t="s">
        <v>82</v>
      </c>
      <c r="B1" s="437"/>
      <c r="C1" s="437"/>
      <c r="D1" s="437"/>
      <c r="E1" s="437"/>
      <c r="F1" s="437"/>
      <c r="G1" s="437"/>
      <c r="H1" s="437"/>
      <c r="I1" s="437"/>
    </row>
    <row r="2" spans="1:17" ht="24.75" customHeight="1">
      <c r="A2" s="432" t="s">
        <v>133</v>
      </c>
      <c r="B2" s="432"/>
      <c r="C2" s="432"/>
      <c r="D2" s="432"/>
      <c r="E2" s="432"/>
      <c r="F2" s="432"/>
      <c r="G2" s="432"/>
      <c r="H2" s="432"/>
      <c r="I2" s="432"/>
    </row>
    <row r="3" spans="1:17" ht="33.75">
      <c r="A3" s="125" t="s">
        <v>79</v>
      </c>
      <c r="B3" s="125"/>
      <c r="C3" s="126" t="s">
        <v>92</v>
      </c>
      <c r="D3" s="126" t="s">
        <v>93</v>
      </c>
      <c r="E3" s="126" t="s">
        <v>91</v>
      </c>
      <c r="F3" s="126" t="s">
        <v>90</v>
      </c>
      <c r="G3" s="126" t="s">
        <v>124</v>
      </c>
      <c r="H3" s="126" t="s">
        <v>80</v>
      </c>
      <c r="I3" s="127" t="s">
        <v>95</v>
      </c>
      <c r="J3" s="84" t="s">
        <v>95</v>
      </c>
    </row>
    <row r="4" spans="1:17" ht="42" customHeight="1">
      <c r="A4" s="139" t="s">
        <v>177</v>
      </c>
      <c r="B4" s="168"/>
      <c r="C4" s="129">
        <f>supervisor!E82</f>
        <v>9308.295609653107</v>
      </c>
      <c r="D4" s="130">
        <v>1</v>
      </c>
      <c r="E4" s="129">
        <f>D4*C4</f>
        <v>9308.295609653107</v>
      </c>
      <c r="F4" s="130">
        <v>1</v>
      </c>
      <c r="G4" s="130">
        <f t="shared" ref="G4:G13" si="0">F4*D4</f>
        <v>1</v>
      </c>
      <c r="H4" s="129">
        <f>E4*F4</f>
        <v>9308.295609653107</v>
      </c>
      <c r="I4" s="131">
        <f>H4*12</f>
        <v>111699.54731583729</v>
      </c>
      <c r="J4" s="169"/>
      <c r="K4" s="378"/>
      <c r="M4" s="430" t="s">
        <v>288</v>
      </c>
      <c r="N4" s="431"/>
      <c r="O4" s="431"/>
      <c r="P4" s="431"/>
      <c r="Q4" s="431"/>
    </row>
    <row r="5" spans="1:17" ht="33.75">
      <c r="A5" s="139" t="s">
        <v>105</v>
      </c>
      <c r="B5" s="128" t="s">
        <v>85</v>
      </c>
      <c r="C5" s="129">
        <f>' 44h de 2º a 6 feira'!E82</f>
        <v>7889.9949269526205</v>
      </c>
      <c r="D5" s="130">
        <v>1</v>
      </c>
      <c r="E5" s="129">
        <f t="shared" ref="E5:E13" si="1">IFERROR(C5*D5,"")</f>
        <v>7889.9949269526205</v>
      </c>
      <c r="F5" s="130">
        <v>15</v>
      </c>
      <c r="G5" s="130">
        <f t="shared" si="0"/>
        <v>15</v>
      </c>
      <c r="H5" s="129">
        <f t="shared" ref="H5:H13" si="2">IFERROR(E5*F5,"")</f>
        <v>118349.9239042893</v>
      </c>
      <c r="I5" s="131">
        <f t="shared" ref="I5:I13" si="3">IFERROR(H5*12,"")</f>
        <v>1420199.0868514716</v>
      </c>
      <c r="J5" s="62">
        <f>IFERROR(H5*12,"")</f>
        <v>1420199.0868514716</v>
      </c>
      <c r="K5" s="378"/>
      <c r="M5" s="337"/>
      <c r="N5" s="126" t="s">
        <v>90</v>
      </c>
      <c r="O5" s="126" t="s">
        <v>124</v>
      </c>
      <c r="P5" s="126" t="s">
        <v>80</v>
      </c>
      <c r="Q5" s="127" t="s">
        <v>95</v>
      </c>
    </row>
    <row r="6" spans="1:17" ht="33.75">
      <c r="A6" s="139" t="s">
        <v>106</v>
      </c>
      <c r="B6" s="128" t="s">
        <v>87</v>
      </c>
      <c r="C6" s="129">
        <f>'Desarmada - Diurna 12 x36 hs'!E83</f>
        <v>7433.7315153453455</v>
      </c>
      <c r="D6" s="130">
        <v>2</v>
      </c>
      <c r="E6" s="129">
        <f t="shared" si="1"/>
        <v>14867.463030690691</v>
      </c>
      <c r="F6" s="130">
        <v>23</v>
      </c>
      <c r="G6" s="130">
        <f t="shared" si="0"/>
        <v>46</v>
      </c>
      <c r="H6" s="129">
        <f t="shared" si="2"/>
        <v>341951.64970588591</v>
      </c>
      <c r="I6" s="131">
        <f t="shared" si="3"/>
        <v>4103419.7964706309</v>
      </c>
      <c r="J6" s="62">
        <f>IFERROR(H6*12,"")</f>
        <v>4103419.7964706309</v>
      </c>
      <c r="K6" s="378"/>
      <c r="M6" s="338" t="s">
        <v>289</v>
      </c>
      <c r="N6" s="339">
        <v>79</v>
      </c>
      <c r="O6" s="339">
        <v>142</v>
      </c>
      <c r="P6" s="340">
        <f>H40</f>
        <v>1000833.2351519584</v>
      </c>
      <c r="Q6" s="340">
        <f>I40</f>
        <v>12009998.821823506</v>
      </c>
    </row>
    <row r="7" spans="1:17" ht="22.5">
      <c r="A7" s="139" t="s">
        <v>179</v>
      </c>
      <c r="B7" s="128"/>
      <c r="C7" s="129">
        <f>'Supervisor - Diurna 12 x36h'!E83</f>
        <v>8869.5743460350568</v>
      </c>
      <c r="D7" s="130">
        <v>2</v>
      </c>
      <c r="E7" s="129">
        <f t="shared" si="1"/>
        <v>17739.148692070114</v>
      </c>
      <c r="F7" s="130">
        <v>1</v>
      </c>
      <c r="G7" s="130">
        <f t="shared" si="0"/>
        <v>2</v>
      </c>
      <c r="H7" s="129">
        <f t="shared" si="2"/>
        <v>17739.148692070114</v>
      </c>
      <c r="I7" s="131">
        <f t="shared" si="3"/>
        <v>212869.78430484136</v>
      </c>
      <c r="J7" s="62"/>
      <c r="K7" s="378"/>
      <c r="M7" s="338" t="s">
        <v>290</v>
      </c>
      <c r="N7" s="339">
        <f>F14</f>
        <v>79</v>
      </c>
      <c r="O7" s="339">
        <f>G14</f>
        <v>142</v>
      </c>
      <c r="P7" s="340">
        <f>H14</f>
        <v>1108639.1286180774</v>
      </c>
      <c r="Q7" s="340">
        <f>I14</f>
        <v>13303669.54341693</v>
      </c>
    </row>
    <row r="8" spans="1:17" ht="33.75">
      <c r="A8" s="139" t="s">
        <v>107</v>
      </c>
      <c r="B8" s="128" t="s">
        <v>104</v>
      </c>
      <c r="C8" s="129">
        <f>' Desarmada - Noturna 12 x36'!E85</f>
        <v>8166.7003646880221</v>
      </c>
      <c r="D8" s="130">
        <v>2</v>
      </c>
      <c r="E8" s="129">
        <f t="shared" si="1"/>
        <v>16333.400729376044</v>
      </c>
      <c r="F8" s="130">
        <v>9</v>
      </c>
      <c r="G8" s="130">
        <f t="shared" si="0"/>
        <v>18</v>
      </c>
      <c r="H8" s="129">
        <f t="shared" si="2"/>
        <v>147000.60656438439</v>
      </c>
      <c r="I8" s="131">
        <f t="shared" si="3"/>
        <v>1764007.2787726126</v>
      </c>
      <c r="J8" s="62"/>
      <c r="K8" s="378"/>
      <c r="M8" s="341" t="s">
        <v>291</v>
      </c>
      <c r="N8" s="342"/>
      <c r="O8" s="342"/>
      <c r="P8" s="342">
        <f>((P7*1)/P6)-1</f>
        <v>0.10771614059134493</v>
      </c>
      <c r="Q8" s="342">
        <f>(Q7/Q6)-1</f>
        <v>0.10771614059134471</v>
      </c>
    </row>
    <row r="9" spans="1:17" ht="22.5">
      <c r="A9" s="139" t="s">
        <v>180</v>
      </c>
      <c r="B9" s="128"/>
      <c r="C9" s="129">
        <f>' Supervisor - Noturna 12 x36h'!E85</f>
        <v>9747.5893534344559</v>
      </c>
      <c r="D9" s="130">
        <v>2</v>
      </c>
      <c r="E9" s="129">
        <f t="shared" si="1"/>
        <v>19495.178706868912</v>
      </c>
      <c r="F9" s="130">
        <v>1</v>
      </c>
      <c r="G9" s="130">
        <f t="shared" si="0"/>
        <v>2</v>
      </c>
      <c r="H9" s="129">
        <f t="shared" si="2"/>
        <v>19495.178706868912</v>
      </c>
      <c r="I9" s="131">
        <f t="shared" si="3"/>
        <v>233942.14448242693</v>
      </c>
      <c r="J9" s="62"/>
      <c r="K9" s="378"/>
    </row>
    <row r="10" spans="1:17" ht="22.5">
      <c r="A10" s="139" t="s">
        <v>108</v>
      </c>
      <c r="B10" s="128"/>
      <c r="C10" s="129">
        <f>'Armada - Diurna 12 x36 hs'!E82</f>
        <v>7559.5785519855608</v>
      </c>
      <c r="D10" s="130">
        <v>2</v>
      </c>
      <c r="E10" s="129">
        <f t="shared" si="1"/>
        <v>15119.157103971122</v>
      </c>
      <c r="F10" s="130">
        <v>17</v>
      </c>
      <c r="G10" s="130">
        <f t="shared" si="0"/>
        <v>34</v>
      </c>
      <c r="H10" s="129">
        <f t="shared" si="2"/>
        <v>257025.67076750906</v>
      </c>
      <c r="I10" s="131">
        <f t="shared" si="3"/>
        <v>3084308.0492101088</v>
      </c>
      <c r="J10" s="62"/>
      <c r="K10" s="378"/>
    </row>
    <row r="11" spans="1:17" ht="33.75">
      <c r="A11" s="323" t="s">
        <v>280</v>
      </c>
      <c r="B11" s="128"/>
      <c r="C11" s="129">
        <f>'Intra - Armada-Diurna 12 x36'!E83</f>
        <v>8243.2111378890368</v>
      </c>
      <c r="D11" s="130">
        <v>2</v>
      </c>
      <c r="E11" s="129">
        <f t="shared" si="1"/>
        <v>16486.422275778074</v>
      </c>
      <c r="F11" s="130">
        <v>1</v>
      </c>
      <c r="G11" s="130">
        <f t="shared" si="0"/>
        <v>2</v>
      </c>
      <c r="H11" s="129">
        <f t="shared" si="2"/>
        <v>16486.422275778074</v>
      </c>
      <c r="I11" s="131">
        <f t="shared" si="3"/>
        <v>197837.06730933688</v>
      </c>
      <c r="J11" s="62"/>
      <c r="K11" s="378"/>
    </row>
    <row r="12" spans="1:17" ht="22.5">
      <c r="A12" s="139" t="s">
        <v>109</v>
      </c>
      <c r="B12" s="128" t="s">
        <v>88</v>
      </c>
      <c r="C12" s="129">
        <f>' Armada - Noturna 12 x36 hs'!E84</f>
        <v>8170.112458069807</v>
      </c>
      <c r="D12" s="130">
        <v>2</v>
      </c>
      <c r="E12" s="129">
        <f t="shared" si="1"/>
        <v>16340.224916139614</v>
      </c>
      <c r="F12" s="130">
        <v>10</v>
      </c>
      <c r="G12" s="130">
        <f t="shared" si="0"/>
        <v>20</v>
      </c>
      <c r="H12" s="129">
        <f t="shared" si="2"/>
        <v>163402.24916139615</v>
      </c>
      <c r="I12" s="131">
        <f t="shared" si="3"/>
        <v>1960826.9899367536</v>
      </c>
      <c r="J12" s="62" t="str">
        <f>IFERROR(#REF!*12,"")</f>
        <v/>
      </c>
      <c r="K12" s="378"/>
    </row>
    <row r="13" spans="1:17" ht="33.75">
      <c r="A13" s="323" t="s">
        <v>281</v>
      </c>
      <c r="B13" s="128"/>
      <c r="C13" s="308">
        <f>'Intra - Armada-Noturna 12x36'!E85</f>
        <v>8939.9916151212383</v>
      </c>
      <c r="D13" s="322">
        <v>2</v>
      </c>
      <c r="E13" s="308">
        <f t="shared" si="1"/>
        <v>17879.983230242477</v>
      </c>
      <c r="F13" s="322">
        <v>1</v>
      </c>
      <c r="G13" s="322">
        <f t="shared" si="0"/>
        <v>2</v>
      </c>
      <c r="H13" s="308">
        <f t="shared" si="2"/>
        <v>17879.983230242477</v>
      </c>
      <c r="I13" s="131">
        <f t="shared" si="3"/>
        <v>214559.79876290972</v>
      </c>
      <c r="J13" s="62"/>
      <c r="K13" s="378"/>
    </row>
    <row r="14" spans="1:17">
      <c r="A14" s="439" t="s">
        <v>81</v>
      </c>
      <c r="B14" s="440"/>
      <c r="C14" s="440"/>
      <c r="D14" s="440"/>
      <c r="E14" s="440"/>
      <c r="F14" s="311">
        <f>SUM(F4:F13)</f>
        <v>79</v>
      </c>
      <c r="G14" s="311">
        <f>SUM(G4:G13)</f>
        <v>142</v>
      </c>
      <c r="H14" s="133">
        <f>SUM(H4:H13)</f>
        <v>1108639.1286180774</v>
      </c>
      <c r="I14" s="134">
        <f>SUM(I4:I13)</f>
        <v>13303669.54341693</v>
      </c>
    </row>
    <row r="15" spans="1:17">
      <c r="A15" s="135"/>
      <c r="B15" s="135"/>
      <c r="C15" s="124"/>
      <c r="D15" s="135"/>
      <c r="E15" s="135"/>
      <c r="F15" s="135"/>
      <c r="G15" s="135"/>
      <c r="H15" s="124"/>
      <c r="I15" s="124"/>
    </row>
    <row r="16" spans="1:17">
      <c r="A16" s="432" t="s">
        <v>178</v>
      </c>
      <c r="B16" s="432"/>
      <c r="C16" s="432"/>
      <c r="D16" s="432"/>
      <c r="E16" s="432"/>
      <c r="F16" s="309"/>
      <c r="G16" s="309"/>
      <c r="H16" s="124"/>
      <c r="I16" s="124"/>
    </row>
    <row r="17" spans="1:18" ht="33.75">
      <c r="A17" s="136" t="s">
        <v>125</v>
      </c>
      <c r="B17" s="136"/>
      <c r="C17" s="136" t="s">
        <v>134</v>
      </c>
      <c r="D17" s="136" t="s">
        <v>126</v>
      </c>
      <c r="E17" s="136" t="s">
        <v>187</v>
      </c>
      <c r="F17" s="136" t="s">
        <v>191</v>
      </c>
      <c r="G17" s="136" t="s">
        <v>127</v>
      </c>
      <c r="H17" s="124"/>
      <c r="I17" s="124"/>
      <c r="R17" s="378"/>
    </row>
    <row r="18" spans="1:18" s="61" customFormat="1">
      <c r="A18" s="310">
        <v>18</v>
      </c>
      <c r="B18" s="128"/>
      <c r="C18" s="128">
        <v>12</v>
      </c>
      <c r="D18" s="129">
        <f>'Proposta Cadastro'!G29</f>
        <v>164.8605</v>
      </c>
      <c r="E18" s="129">
        <f>D18*0.3</f>
        <v>49.458149999999996</v>
      </c>
      <c r="F18" s="129">
        <f>D18+E18</f>
        <v>214.31864999999999</v>
      </c>
      <c r="G18" s="134">
        <f>A18*C18*F18</f>
        <v>46292.828399999999</v>
      </c>
      <c r="H18" s="124"/>
      <c r="I18" s="137"/>
    </row>
    <row r="19" spans="1:18" s="61" customFormat="1">
      <c r="A19" s="146"/>
      <c r="B19" s="147"/>
      <c r="C19" s="147"/>
      <c r="D19" s="148"/>
      <c r="E19" s="149"/>
      <c r="F19" s="309"/>
      <c r="G19" s="309"/>
      <c r="H19" s="124"/>
      <c r="I19" s="137"/>
    </row>
    <row r="20" spans="1:18" s="61" customFormat="1">
      <c r="A20" s="433" t="s">
        <v>132</v>
      </c>
      <c r="B20" s="433"/>
      <c r="C20" s="433"/>
      <c r="D20" s="433"/>
      <c r="E20" s="433"/>
      <c r="F20" s="433"/>
      <c r="G20" s="309"/>
      <c r="H20" s="124"/>
      <c r="I20" s="137"/>
      <c r="R20" s="379"/>
    </row>
    <row r="21" spans="1:18" s="61" customFormat="1">
      <c r="A21" s="434" t="s">
        <v>131</v>
      </c>
      <c r="B21" s="434"/>
      <c r="C21" s="434"/>
      <c r="D21" s="435">
        <f>I14</f>
        <v>13303669.54341693</v>
      </c>
      <c r="E21" s="435"/>
      <c r="F21" s="435"/>
      <c r="G21" s="309"/>
      <c r="H21" s="124"/>
      <c r="I21" s="137"/>
    </row>
    <row r="22" spans="1:18" s="61" customFormat="1">
      <c r="A22" s="424" t="s">
        <v>130</v>
      </c>
      <c r="B22" s="424"/>
      <c r="C22" s="424"/>
      <c r="D22" s="425">
        <f>G18</f>
        <v>46292.828399999999</v>
      </c>
      <c r="E22" s="424"/>
      <c r="F22" s="424"/>
      <c r="G22" s="309"/>
      <c r="H22" s="124"/>
      <c r="I22" s="124"/>
    </row>
    <row r="23" spans="1:18" s="61" customFormat="1">
      <c r="A23" s="426" t="s">
        <v>128</v>
      </c>
      <c r="B23" s="426"/>
      <c r="C23" s="426"/>
      <c r="D23" s="427"/>
      <c r="E23" s="428">
        <f>I14+G18+0.02</f>
        <v>13349962.391816929</v>
      </c>
      <c r="F23" s="429"/>
      <c r="G23" s="309"/>
      <c r="H23" s="124"/>
      <c r="I23" s="124"/>
    </row>
    <row r="25" spans="1:18" s="61" customFormat="1">
      <c r="A25" s="436"/>
      <c r="B25" s="436"/>
      <c r="C25" s="436"/>
      <c r="D25" s="436"/>
      <c r="E25" s="436"/>
      <c r="F25" s="436"/>
      <c r="G25" s="436"/>
      <c r="H25" s="436"/>
      <c r="I25" s="436"/>
    </row>
    <row r="26" spans="1:18">
      <c r="A26" s="437" t="s">
        <v>82</v>
      </c>
      <c r="B26" s="437"/>
      <c r="C26" s="437"/>
      <c r="D26" s="437"/>
      <c r="E26" s="437"/>
      <c r="F26" s="437"/>
      <c r="G26" s="437"/>
      <c r="H26" s="437"/>
      <c r="I26" s="437"/>
    </row>
    <row r="27" spans="1:18">
      <c r="A27" s="123"/>
      <c r="B27" s="309"/>
      <c r="C27" s="124"/>
      <c r="D27" s="309"/>
      <c r="E27" s="309"/>
      <c r="F27" s="309"/>
      <c r="G27" s="309"/>
      <c r="H27" s="124"/>
      <c r="I27" s="124"/>
    </row>
    <row r="28" spans="1:18">
      <c r="A28" s="432" t="s">
        <v>133</v>
      </c>
      <c r="B28" s="432"/>
      <c r="C28" s="432"/>
      <c r="D28" s="432"/>
      <c r="E28" s="432"/>
      <c r="F28" s="432"/>
      <c r="G28" s="432"/>
      <c r="H28" s="432"/>
      <c r="I28" s="432"/>
    </row>
    <row r="29" spans="1:18" ht="33.75">
      <c r="A29" s="125" t="s">
        <v>79</v>
      </c>
      <c r="B29" s="125"/>
      <c r="C29" s="126" t="s">
        <v>92</v>
      </c>
      <c r="D29" s="126" t="s">
        <v>93</v>
      </c>
      <c r="E29" s="126" t="s">
        <v>91</v>
      </c>
      <c r="F29" s="126" t="s">
        <v>90</v>
      </c>
      <c r="G29" s="126" t="s">
        <v>124</v>
      </c>
      <c r="H29" s="126" t="s">
        <v>80</v>
      </c>
      <c r="I29" s="127" t="s">
        <v>95</v>
      </c>
    </row>
    <row r="30" spans="1:18" ht="22.5">
      <c r="A30" s="139" t="s">
        <v>177</v>
      </c>
      <c r="B30" s="168"/>
      <c r="C30" s="129">
        <v>8405.8181468344246</v>
      </c>
      <c r="D30" s="130">
        <v>1</v>
      </c>
      <c r="E30" s="129">
        <v>8405.8181468344246</v>
      </c>
      <c r="F30" s="130">
        <v>1</v>
      </c>
      <c r="G30" s="130">
        <v>1</v>
      </c>
      <c r="H30" s="129">
        <v>8405.8181468344246</v>
      </c>
      <c r="I30" s="131">
        <v>100869.81776201309</v>
      </c>
    </row>
    <row r="31" spans="1:18" ht="33.75">
      <c r="A31" s="139" t="s">
        <v>105</v>
      </c>
      <c r="B31" s="128" t="s">
        <v>85</v>
      </c>
      <c r="C31" s="129">
        <v>7131.1882145158643</v>
      </c>
      <c r="D31" s="130">
        <v>1</v>
      </c>
      <c r="E31" s="129">
        <v>7131.1882145158643</v>
      </c>
      <c r="F31" s="130">
        <v>15</v>
      </c>
      <c r="G31" s="130">
        <v>15</v>
      </c>
      <c r="H31" s="129">
        <v>106967.82321773797</v>
      </c>
      <c r="I31" s="131">
        <v>1283613.8786128557</v>
      </c>
    </row>
    <row r="32" spans="1:18" ht="33.75">
      <c r="A32" s="139" t="s">
        <v>106</v>
      </c>
      <c r="B32" s="128" t="s">
        <v>87</v>
      </c>
      <c r="C32" s="129">
        <v>6710.5797188370234</v>
      </c>
      <c r="D32" s="130">
        <v>2</v>
      </c>
      <c r="E32" s="129">
        <v>13421.159437674047</v>
      </c>
      <c r="F32" s="130">
        <v>23</v>
      </c>
      <c r="G32" s="130">
        <v>46</v>
      </c>
      <c r="H32" s="129">
        <v>308686.66706650308</v>
      </c>
      <c r="I32" s="131">
        <v>3704240.004798037</v>
      </c>
    </row>
    <row r="33" spans="1:10" ht="22.5">
      <c r="A33" s="139" t="s">
        <v>179</v>
      </c>
      <c r="B33" s="128"/>
      <c r="C33" s="129">
        <v>7984.0607703493088</v>
      </c>
      <c r="D33" s="130">
        <v>2</v>
      </c>
      <c r="E33" s="129">
        <v>15968.121540698618</v>
      </c>
      <c r="F33" s="130">
        <v>1</v>
      </c>
      <c r="G33" s="130">
        <v>2</v>
      </c>
      <c r="H33" s="129">
        <v>15968.121540698618</v>
      </c>
      <c r="I33" s="131">
        <v>191617.45848838342</v>
      </c>
    </row>
    <row r="34" spans="1:10" ht="33.75">
      <c r="A34" s="139" t="s">
        <v>107</v>
      </c>
      <c r="B34" s="128" t="s">
        <v>104</v>
      </c>
      <c r="C34" s="129">
        <v>7370.2296071746532</v>
      </c>
      <c r="D34" s="130">
        <v>2</v>
      </c>
      <c r="E34" s="129">
        <v>14740.459214349306</v>
      </c>
      <c r="F34" s="130">
        <v>9</v>
      </c>
      <c r="G34" s="130">
        <v>18</v>
      </c>
      <c r="H34" s="129">
        <v>132664.13292914376</v>
      </c>
      <c r="I34" s="131">
        <v>1591969.5951497252</v>
      </c>
    </row>
    <row r="35" spans="1:10" ht="22.5">
      <c r="A35" s="139" t="s">
        <v>180</v>
      </c>
      <c r="B35" s="128"/>
      <c r="C35" s="129">
        <v>8774.1870348300945</v>
      </c>
      <c r="D35" s="130">
        <v>2</v>
      </c>
      <c r="E35" s="129">
        <v>17548.374069660189</v>
      </c>
      <c r="F35" s="130">
        <v>1</v>
      </c>
      <c r="G35" s="130">
        <v>2</v>
      </c>
      <c r="H35" s="129">
        <v>17548.374069660189</v>
      </c>
      <c r="I35" s="131">
        <v>210580.48883592227</v>
      </c>
    </row>
    <row r="36" spans="1:10" ht="22.5">
      <c r="A36" s="139" t="s">
        <v>108</v>
      </c>
      <c r="B36" s="128"/>
      <c r="C36" s="129">
        <v>6825.79848652497</v>
      </c>
      <c r="D36" s="130">
        <v>2</v>
      </c>
      <c r="E36" s="129">
        <v>13651.59697304994</v>
      </c>
      <c r="F36" s="130">
        <v>17</v>
      </c>
      <c r="G36" s="130">
        <v>34</v>
      </c>
      <c r="H36" s="129">
        <v>232077.14854184899</v>
      </c>
      <c r="I36" s="131">
        <v>2784925.7825021879</v>
      </c>
    </row>
    <row r="37" spans="1:10" ht="33.75">
      <c r="A37" s="323" t="s">
        <v>280</v>
      </c>
      <c r="B37" s="128"/>
      <c r="C37" s="129">
        <v>7440.897370707673</v>
      </c>
      <c r="D37" s="130">
        <v>2</v>
      </c>
      <c r="E37" s="129">
        <v>14881.794741415346</v>
      </c>
      <c r="F37" s="130">
        <v>1</v>
      </c>
      <c r="G37" s="130">
        <v>2</v>
      </c>
      <c r="H37" s="129">
        <v>14881.794741415346</v>
      </c>
      <c r="I37" s="131">
        <v>178581.53689698415</v>
      </c>
    </row>
    <row r="38" spans="1:10" ht="22.5">
      <c r="A38" s="139" t="s">
        <v>109</v>
      </c>
      <c r="B38" s="348" t="s">
        <v>88</v>
      </c>
      <c r="C38" s="129">
        <v>7374.9071048926289</v>
      </c>
      <c r="D38" s="130">
        <v>2</v>
      </c>
      <c r="E38" s="129">
        <v>14749.814209785258</v>
      </c>
      <c r="F38" s="130">
        <v>10</v>
      </c>
      <c r="G38" s="130">
        <v>20</v>
      </c>
      <c r="H38" s="129">
        <v>147498.14209785257</v>
      </c>
      <c r="I38" s="131">
        <v>1769977.705174231</v>
      </c>
    </row>
    <row r="39" spans="1:10" s="344" customFormat="1" ht="33.75">
      <c r="A39" s="323" t="s">
        <v>281</v>
      </c>
      <c r="B39" s="346"/>
      <c r="C39" s="129">
        <v>8067.6064001317791</v>
      </c>
      <c r="D39" s="130">
        <v>2</v>
      </c>
      <c r="E39" s="129">
        <v>16135.212800263558</v>
      </c>
      <c r="F39" s="130">
        <v>1</v>
      </c>
      <c r="G39" s="130">
        <v>2</v>
      </c>
      <c r="H39" s="129">
        <v>16135.212800263558</v>
      </c>
      <c r="I39" s="131">
        <v>193622.5536031627</v>
      </c>
      <c r="J39" s="61"/>
    </row>
    <row r="40" spans="1:10" s="344" customFormat="1">
      <c r="A40" s="438" t="s">
        <v>81</v>
      </c>
      <c r="B40" s="438"/>
      <c r="C40" s="438"/>
      <c r="D40" s="438"/>
      <c r="E40" s="438"/>
      <c r="F40" s="346">
        <v>79</v>
      </c>
      <c r="G40" s="346">
        <v>142</v>
      </c>
      <c r="H40" s="347">
        <v>1000833.2351519584</v>
      </c>
      <c r="I40" s="343">
        <v>12009998.821823506</v>
      </c>
      <c r="J40" s="61"/>
    </row>
    <row r="41" spans="1:10">
      <c r="A41" s="135"/>
      <c r="B41" s="135"/>
      <c r="C41" s="124"/>
      <c r="D41" s="135"/>
      <c r="E41" s="135"/>
      <c r="F41" s="135"/>
      <c r="G41" s="135"/>
      <c r="H41" s="124"/>
      <c r="I41" s="124"/>
    </row>
    <row r="42" spans="1:10">
      <c r="A42" s="432" t="s">
        <v>178</v>
      </c>
      <c r="B42" s="432"/>
      <c r="C42" s="432"/>
      <c r="D42" s="432"/>
      <c r="E42" s="432"/>
      <c r="F42" s="309"/>
      <c r="G42" s="309"/>
      <c r="H42" s="124"/>
      <c r="I42" s="124"/>
    </row>
    <row r="43" spans="1:10" ht="33.75">
      <c r="A43" s="136" t="s">
        <v>125</v>
      </c>
      <c r="B43" s="136"/>
      <c r="C43" s="136" t="s">
        <v>134</v>
      </c>
      <c r="D43" s="136" t="s">
        <v>126</v>
      </c>
      <c r="E43" s="136" t="s">
        <v>187</v>
      </c>
      <c r="F43" s="136" t="s">
        <v>191</v>
      </c>
      <c r="G43" s="136" t="s">
        <v>127</v>
      </c>
      <c r="H43" s="124"/>
      <c r="I43" s="124"/>
    </row>
    <row r="44" spans="1:10">
      <c r="A44" s="310">
        <v>18</v>
      </c>
      <c r="B44" s="128"/>
      <c r="C44" s="128">
        <v>12</v>
      </c>
      <c r="D44" s="129">
        <v>148.33000000000001</v>
      </c>
      <c r="E44" s="129">
        <f>D44*0.3</f>
        <v>44.499000000000002</v>
      </c>
      <c r="F44" s="129">
        <f>D44+E44</f>
        <v>192.82900000000001</v>
      </c>
      <c r="G44" s="134">
        <f>A44*C44*F44</f>
        <v>41651.063999999998</v>
      </c>
      <c r="H44" s="124"/>
      <c r="I44" s="137"/>
    </row>
    <row r="45" spans="1:10">
      <c r="A45" s="146"/>
      <c r="B45" s="147"/>
      <c r="C45" s="147"/>
      <c r="D45" s="148"/>
      <c r="E45" s="149"/>
      <c r="F45" s="309"/>
      <c r="G45" s="309"/>
      <c r="H45" s="124"/>
      <c r="I45" s="137"/>
    </row>
    <row r="46" spans="1:10">
      <c r="A46" s="433" t="s">
        <v>132</v>
      </c>
      <c r="B46" s="433"/>
      <c r="C46" s="433"/>
      <c r="D46" s="433"/>
      <c r="E46" s="433"/>
      <c r="F46" s="433"/>
      <c r="G46" s="309"/>
      <c r="H46" s="124"/>
      <c r="I46" s="137"/>
    </row>
    <row r="47" spans="1:10">
      <c r="A47" s="434" t="s">
        <v>131</v>
      </c>
      <c r="B47" s="434"/>
      <c r="C47" s="434"/>
      <c r="D47" s="435">
        <f>I40</f>
        <v>12009998.821823506</v>
      </c>
      <c r="E47" s="435"/>
      <c r="F47" s="435"/>
      <c r="G47" s="309"/>
      <c r="H47" s="124"/>
      <c r="I47" s="137"/>
    </row>
    <row r="48" spans="1:10">
      <c r="A48" s="424" t="s">
        <v>130</v>
      </c>
      <c r="B48" s="424"/>
      <c r="C48" s="424"/>
      <c r="D48" s="425">
        <f>G44</f>
        <v>41651.063999999998</v>
      </c>
      <c r="E48" s="424"/>
      <c r="F48" s="424"/>
      <c r="G48" s="309"/>
      <c r="H48" s="124"/>
      <c r="I48" s="124"/>
    </row>
    <row r="49" spans="1:9">
      <c r="A49" s="426" t="s">
        <v>128</v>
      </c>
      <c r="B49" s="426"/>
      <c r="C49" s="426"/>
      <c r="D49" s="427"/>
      <c r="E49" s="428">
        <f>I40+G44+0.02</f>
        <v>12051649.905823505</v>
      </c>
      <c r="F49" s="429"/>
      <c r="G49" s="309"/>
      <c r="H49" s="124"/>
      <c r="I49" s="124"/>
    </row>
  </sheetData>
  <sheetProtection selectLockedCells="1"/>
  <mergeCells count="24">
    <mergeCell ref="A21:C21"/>
    <mergeCell ref="D21:F21"/>
    <mergeCell ref="A40:E40"/>
    <mergeCell ref="A1:I1"/>
    <mergeCell ref="A2:I2"/>
    <mergeCell ref="A14:E14"/>
    <mergeCell ref="A16:E16"/>
    <mergeCell ref="A20:F20"/>
    <mergeCell ref="A48:C48"/>
    <mergeCell ref="D48:F48"/>
    <mergeCell ref="A49:D49"/>
    <mergeCell ref="E49:F49"/>
    <mergeCell ref="M4:Q4"/>
    <mergeCell ref="A28:I28"/>
    <mergeCell ref="A42:E42"/>
    <mergeCell ref="A46:F46"/>
    <mergeCell ref="A47:C47"/>
    <mergeCell ref="D47:F47"/>
    <mergeCell ref="A22:C22"/>
    <mergeCell ref="D22:F22"/>
    <mergeCell ref="A23:D23"/>
    <mergeCell ref="E23:F23"/>
    <mergeCell ref="A25:I25"/>
    <mergeCell ref="A26:I26"/>
  </mergeCells>
  <pageMargins left="0.511811024" right="0.511811024" top="1.06375" bottom="0.78740157499999996" header="0.31496062000000002" footer="0.31496062000000002"/>
  <pageSetup paperSize="9" scale="85" orientation="landscape" verticalDpi="300" r:id="rId1"/>
  <headerFooter>
    <oddHeader>&amp;CProcesso Administrativo Nº xx.xxxxxx.xxxx/xx
ANEXO xx DO TR
Planilha de Composição de Custos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1"/>
    <pageSetUpPr fitToPage="1"/>
  </sheetPr>
  <dimension ref="A1:X47"/>
  <sheetViews>
    <sheetView showGridLines="0" tabSelected="1" view="pageBreakPreview" topLeftCell="A6" zoomScaleNormal="100" zoomScaleSheetLayoutView="100" workbookViewId="0">
      <selection sqref="A1:I24"/>
    </sheetView>
  </sheetViews>
  <sheetFormatPr defaultRowHeight="12.75"/>
  <cols>
    <col min="1" max="1" width="20.5703125" style="60" customWidth="1"/>
    <col min="2" max="2" width="10.5703125" style="60" hidden="1" customWidth="1"/>
    <col min="3" max="3" width="12.7109375" style="61" customWidth="1"/>
    <col min="4" max="4" width="13.28515625" style="60" customWidth="1"/>
    <col min="5" max="5" width="12.140625" style="60" customWidth="1"/>
    <col min="6" max="6" width="11" style="60" customWidth="1"/>
    <col min="7" max="7" width="12.28515625" style="60" customWidth="1"/>
    <col min="8" max="8" width="12.5703125" style="61" customWidth="1"/>
    <col min="9" max="9" width="15.140625" style="61" customWidth="1"/>
    <col min="10" max="10" width="16.5703125" style="61" hidden="1" customWidth="1"/>
    <col min="11" max="12" width="9.140625" style="60"/>
    <col min="13" max="13" width="16.140625" style="60" hidden="1" customWidth="1"/>
    <col min="14" max="14" width="11.5703125" style="60" hidden="1" customWidth="1"/>
    <col min="15" max="15" width="16.140625" style="60" hidden="1" customWidth="1"/>
    <col min="16" max="16" width="13" style="60" hidden="1" customWidth="1"/>
    <col min="17" max="17" width="16.28515625" style="60" hidden="1" customWidth="1"/>
    <col min="18" max="18" width="27.7109375" style="60" customWidth="1"/>
    <col min="19" max="19" width="11" style="60" bestFit="1" customWidth="1"/>
    <col min="20" max="20" width="20.5703125" style="60" bestFit="1" customWidth="1"/>
    <col min="21" max="21" width="13.7109375" style="60" customWidth="1"/>
    <col min="22" max="22" width="13.7109375" style="350" customWidth="1"/>
    <col min="23" max="23" width="13.7109375" style="349" customWidth="1"/>
    <col min="24" max="24" width="13.7109375" style="60" bestFit="1" customWidth="1"/>
    <col min="25" max="16384" width="9.140625" style="60"/>
  </cols>
  <sheetData>
    <row r="1" spans="1:24">
      <c r="A1" s="437" t="s">
        <v>303</v>
      </c>
      <c r="B1" s="437"/>
      <c r="C1" s="437"/>
      <c r="D1" s="437"/>
      <c r="E1" s="437"/>
      <c r="F1" s="437"/>
      <c r="G1" s="437"/>
      <c r="H1" s="437"/>
      <c r="I1" s="437"/>
    </row>
    <row r="2" spans="1:24" ht="24.75" customHeight="1">
      <c r="A2" s="432" t="s">
        <v>133</v>
      </c>
      <c r="B2" s="432"/>
      <c r="C2" s="432"/>
      <c r="D2" s="432"/>
      <c r="E2" s="432"/>
      <c r="F2" s="432"/>
      <c r="G2" s="432"/>
      <c r="H2" s="432"/>
      <c r="I2" s="432"/>
    </row>
    <row r="3" spans="1:24" ht="33.75">
      <c r="A3" s="125" t="s">
        <v>79</v>
      </c>
      <c r="B3" s="125"/>
      <c r="C3" s="126" t="s">
        <v>92</v>
      </c>
      <c r="D3" s="126" t="s">
        <v>93</v>
      </c>
      <c r="E3" s="126" t="s">
        <v>91</v>
      </c>
      <c r="F3" s="126" t="s">
        <v>90</v>
      </c>
      <c r="G3" s="126" t="s">
        <v>124</v>
      </c>
      <c r="H3" s="126" t="s">
        <v>80</v>
      </c>
      <c r="I3" s="127" t="s">
        <v>95</v>
      </c>
      <c r="J3" s="84" t="s">
        <v>95</v>
      </c>
      <c r="R3" s="441" t="s">
        <v>299</v>
      </c>
      <c r="S3" s="442"/>
      <c r="T3" s="442"/>
      <c r="U3" s="442"/>
      <c r="V3" s="442"/>
      <c r="W3" s="442"/>
      <c r="X3" s="442"/>
    </row>
    <row r="4" spans="1:24" ht="54.75" customHeight="1">
      <c r="A4" s="139" t="s">
        <v>177</v>
      </c>
      <c r="B4" s="168"/>
      <c r="C4" s="129">
        <f>ROUND(supervisor!E82,2)</f>
        <v>9308.2999999999993</v>
      </c>
      <c r="D4" s="130">
        <v>1</v>
      </c>
      <c r="E4" s="129">
        <f>D4*C4</f>
        <v>9308.2999999999993</v>
      </c>
      <c r="F4" s="130">
        <v>1</v>
      </c>
      <c r="G4" s="130">
        <v>1</v>
      </c>
      <c r="H4" s="129">
        <f>ROUND(E4*F4,2)</f>
        <v>9308.2999999999993</v>
      </c>
      <c r="I4" s="131">
        <f>H4*12</f>
        <v>111699.59999999999</v>
      </c>
      <c r="J4" s="169"/>
      <c r="M4" s="430" t="s">
        <v>288</v>
      </c>
      <c r="N4" s="431"/>
      <c r="O4" s="431"/>
      <c r="P4" s="431"/>
      <c r="Q4" s="431"/>
      <c r="R4" s="351"/>
      <c r="S4" s="127" t="s">
        <v>90</v>
      </c>
      <c r="T4" s="127" t="s">
        <v>124</v>
      </c>
      <c r="U4" s="127" t="s">
        <v>293</v>
      </c>
      <c r="V4" s="352" t="s">
        <v>292</v>
      </c>
      <c r="W4" s="127" t="s">
        <v>295</v>
      </c>
      <c r="X4" s="352" t="s">
        <v>294</v>
      </c>
    </row>
    <row r="5" spans="1:24" ht="33.75">
      <c r="A5" s="139" t="s">
        <v>105</v>
      </c>
      <c r="B5" s="128" t="s">
        <v>85</v>
      </c>
      <c r="C5" s="129">
        <f>ROUND(' 44h de 2º a 6 feira'!E82,2)</f>
        <v>7889.99</v>
      </c>
      <c r="D5" s="130">
        <v>1</v>
      </c>
      <c r="E5" s="129">
        <f t="shared" ref="E5:E11" si="0">IFERROR(C5*D5,"")</f>
        <v>7889.99</v>
      </c>
      <c r="F5" s="130">
        <v>15</v>
      </c>
      <c r="G5" s="130">
        <f t="shared" ref="G5:G11" si="1">F5*D5</f>
        <v>15</v>
      </c>
      <c r="H5" s="129">
        <f>IFERROR(E5*F5,"")</f>
        <v>118349.84999999999</v>
      </c>
      <c r="I5" s="131">
        <f t="shared" ref="I5:I11" si="2">IFERROR(H5*12,"")</f>
        <v>1420198.2</v>
      </c>
      <c r="J5" s="62">
        <f>IFERROR(H5*12,"")</f>
        <v>1420198.2</v>
      </c>
      <c r="M5" s="337"/>
      <c r="N5" s="126" t="s">
        <v>90</v>
      </c>
      <c r="O5" s="126" t="s">
        <v>124</v>
      </c>
      <c r="P5" s="126" t="s">
        <v>80</v>
      </c>
      <c r="Q5" s="127" t="s">
        <v>95</v>
      </c>
      <c r="R5" s="338" t="s">
        <v>289</v>
      </c>
      <c r="S5" s="339">
        <v>79</v>
      </c>
      <c r="T5" s="339">
        <v>142</v>
      </c>
      <c r="U5" s="340">
        <f>H38</f>
        <v>1057223.1399999999</v>
      </c>
      <c r="V5" s="340">
        <f>(H38+(G42/12))</f>
        <v>1060897.1106666666</v>
      </c>
      <c r="W5" s="340">
        <f>I38</f>
        <v>12686677.68</v>
      </c>
      <c r="X5" s="340">
        <f>E47</f>
        <v>12730765.347999999</v>
      </c>
    </row>
    <row r="6" spans="1:24" ht="33.75">
      <c r="A6" s="139" t="s">
        <v>106</v>
      </c>
      <c r="B6" s="128" t="s">
        <v>87</v>
      </c>
      <c r="C6" s="129">
        <f>ROUND('Desarmada - Diurna 12 x36 hs'!E83,2)</f>
        <v>7433.73</v>
      </c>
      <c r="D6" s="130">
        <v>2</v>
      </c>
      <c r="E6" s="129">
        <f t="shared" si="0"/>
        <v>14867.46</v>
      </c>
      <c r="F6" s="130">
        <v>23</v>
      </c>
      <c r="G6" s="130">
        <f t="shared" si="1"/>
        <v>46</v>
      </c>
      <c r="H6" s="129">
        <f t="shared" ref="H6:H11" si="3">IFERROR(E6*F6,"")</f>
        <v>341951.57999999996</v>
      </c>
      <c r="I6" s="131">
        <f t="shared" si="2"/>
        <v>4103418.9599999995</v>
      </c>
      <c r="J6" s="62">
        <f>IFERROR(H6*12,"")</f>
        <v>4103418.9599999995</v>
      </c>
      <c r="M6" s="338" t="s">
        <v>289</v>
      </c>
      <c r="N6" s="339">
        <v>79</v>
      </c>
      <c r="O6" s="339">
        <v>142</v>
      </c>
      <c r="P6" s="340">
        <f>H38</f>
        <v>1057223.1399999999</v>
      </c>
      <c r="Q6" s="340">
        <f>I38</f>
        <v>12686677.68</v>
      </c>
      <c r="R6" s="338" t="s">
        <v>300</v>
      </c>
      <c r="S6" s="339">
        <f>F12</f>
        <v>79</v>
      </c>
      <c r="T6" s="339">
        <f>G12</f>
        <v>142</v>
      </c>
      <c r="U6" s="340">
        <f>H12</f>
        <v>1108639.01</v>
      </c>
      <c r="V6" s="340">
        <f>H12+(G16/12)</f>
        <v>1112496.9123666666</v>
      </c>
      <c r="W6" s="340">
        <f>I12</f>
        <v>13303668.120000001</v>
      </c>
      <c r="X6" s="340">
        <f>E21</f>
        <v>13349962.9684</v>
      </c>
    </row>
    <row r="7" spans="1:24" ht="33.75">
      <c r="A7" s="139" t="s">
        <v>179</v>
      </c>
      <c r="B7" s="128"/>
      <c r="C7" s="129">
        <f>ROUND('Supervisor - Diurna 12 x36h'!E83,2)</f>
        <v>8869.57</v>
      </c>
      <c r="D7" s="130">
        <v>2</v>
      </c>
      <c r="E7" s="129">
        <f t="shared" si="0"/>
        <v>17739.14</v>
      </c>
      <c r="F7" s="130">
        <v>1</v>
      </c>
      <c r="G7" s="130">
        <f t="shared" si="1"/>
        <v>2</v>
      </c>
      <c r="H7" s="129">
        <f t="shared" si="3"/>
        <v>17739.14</v>
      </c>
      <c r="I7" s="131">
        <f t="shared" si="2"/>
        <v>212869.68</v>
      </c>
      <c r="J7" s="62"/>
      <c r="M7" s="338" t="s">
        <v>290</v>
      </c>
      <c r="N7" s="339">
        <f>F12</f>
        <v>79</v>
      </c>
      <c r="O7" s="339">
        <f>G12</f>
        <v>142</v>
      </c>
      <c r="P7" s="340">
        <f>H12</f>
        <v>1108639.01</v>
      </c>
      <c r="Q7" s="340">
        <f>I12</f>
        <v>13303668.120000001</v>
      </c>
      <c r="R7" s="341" t="s">
        <v>301</v>
      </c>
      <c r="S7" s="342"/>
      <c r="T7" s="342"/>
      <c r="U7" s="342">
        <f>((U6*1)/U5)-1</f>
        <v>4.8632940440558325E-2</v>
      </c>
      <c r="V7" s="342">
        <f>((V6*1)/V5)-1</f>
        <v>4.8637894458563258E-2</v>
      </c>
      <c r="W7" s="342">
        <f>((W6*1)/W5)-1</f>
        <v>4.8632940440558325E-2</v>
      </c>
      <c r="X7" s="342">
        <f>((X6*1)/X5)-1</f>
        <v>4.8637894382153268E-2</v>
      </c>
    </row>
    <row r="8" spans="1:24" ht="33.75">
      <c r="A8" s="139" t="s">
        <v>107</v>
      </c>
      <c r="B8" s="128" t="s">
        <v>104</v>
      </c>
      <c r="C8" s="129">
        <f>ROUND(' Desarmada - Noturna 12 x36'!E85,2)</f>
        <v>8166.7</v>
      </c>
      <c r="D8" s="130">
        <v>2</v>
      </c>
      <c r="E8" s="129">
        <f t="shared" si="0"/>
        <v>16333.4</v>
      </c>
      <c r="F8" s="130">
        <v>9</v>
      </c>
      <c r="G8" s="130">
        <f t="shared" si="1"/>
        <v>18</v>
      </c>
      <c r="H8" s="129">
        <f t="shared" si="3"/>
        <v>147000.6</v>
      </c>
      <c r="I8" s="131">
        <f t="shared" si="2"/>
        <v>1764007.2000000002</v>
      </c>
      <c r="J8" s="62"/>
      <c r="M8" s="341" t="s">
        <v>291</v>
      </c>
      <c r="N8" s="342"/>
      <c r="O8" s="342"/>
      <c r="P8" s="342">
        <f>((P7*1)/P6)-1</f>
        <v>4.8632940440558325E-2</v>
      </c>
      <c r="Q8" s="342">
        <f>(Q7/Q6)-1</f>
        <v>4.8632940440558325E-2</v>
      </c>
    </row>
    <row r="9" spans="1:24" ht="33.75">
      <c r="A9" s="139" t="s">
        <v>180</v>
      </c>
      <c r="B9" s="128"/>
      <c r="C9" s="129">
        <f>ROUND(' Supervisor - Noturna 12 x36h'!E85,2)</f>
        <v>9747.59</v>
      </c>
      <c r="D9" s="130">
        <v>2</v>
      </c>
      <c r="E9" s="129">
        <f t="shared" si="0"/>
        <v>19495.18</v>
      </c>
      <c r="F9" s="130">
        <v>1</v>
      </c>
      <c r="G9" s="130">
        <f t="shared" si="1"/>
        <v>2</v>
      </c>
      <c r="H9" s="129">
        <f t="shared" si="3"/>
        <v>19495.18</v>
      </c>
      <c r="I9" s="131">
        <f t="shared" si="2"/>
        <v>233942.16</v>
      </c>
      <c r="J9" s="62"/>
    </row>
    <row r="10" spans="1:24" ht="22.5">
      <c r="A10" s="139" t="s">
        <v>108</v>
      </c>
      <c r="B10" s="128"/>
      <c r="C10" s="129">
        <f>ROUND(('Intra - Armada-Diurna 12 x36'!E85+'Armada - Diurna 12 x36 hs'!E84)/36,2)</f>
        <v>7597.56</v>
      </c>
      <c r="D10" s="130">
        <v>2</v>
      </c>
      <c r="E10" s="129">
        <f t="shared" si="0"/>
        <v>15195.12</v>
      </c>
      <c r="F10" s="130">
        <v>18</v>
      </c>
      <c r="G10" s="130">
        <f t="shared" si="1"/>
        <v>36</v>
      </c>
      <c r="H10" s="129">
        <f t="shared" si="3"/>
        <v>273512.16000000003</v>
      </c>
      <c r="I10" s="131">
        <f t="shared" si="2"/>
        <v>3282145.9200000004</v>
      </c>
      <c r="J10" s="62"/>
    </row>
    <row r="11" spans="1:24" ht="33.75">
      <c r="A11" s="139" t="s">
        <v>109</v>
      </c>
      <c r="B11" s="128" t="s">
        <v>88</v>
      </c>
      <c r="C11" s="129">
        <f>ROUND(('Intra - Armada-Noturna 12x36'!E87+' Armada - Noturna 12 x36 hs'!E86)/22,2)</f>
        <v>8240.1</v>
      </c>
      <c r="D11" s="130">
        <v>2</v>
      </c>
      <c r="E11" s="129">
        <f t="shared" si="0"/>
        <v>16480.2</v>
      </c>
      <c r="F11" s="130">
        <v>11</v>
      </c>
      <c r="G11" s="130">
        <f t="shared" si="1"/>
        <v>22</v>
      </c>
      <c r="H11" s="129">
        <f t="shared" si="3"/>
        <v>181282.2</v>
      </c>
      <c r="I11" s="131">
        <f t="shared" si="2"/>
        <v>2175386.4000000004</v>
      </c>
      <c r="J11" s="62" t="str">
        <f>IFERROR(#REF!*12,"")</f>
        <v/>
      </c>
    </row>
    <row r="12" spans="1:24">
      <c r="A12" s="439" t="s">
        <v>81</v>
      </c>
      <c r="B12" s="440"/>
      <c r="C12" s="440"/>
      <c r="D12" s="440"/>
      <c r="E12" s="440"/>
      <c r="F12" s="132">
        <f>SUM(F4:F11)</f>
        <v>79</v>
      </c>
      <c r="G12" s="132">
        <f>SUM(G4:G11)</f>
        <v>142</v>
      </c>
      <c r="H12" s="133">
        <f>SUM(H4:H11)</f>
        <v>1108639.01</v>
      </c>
      <c r="I12" s="134">
        <f>SUM(I4:I11)</f>
        <v>13303668.120000001</v>
      </c>
      <c r="W12" s="354"/>
    </row>
    <row r="13" spans="1:24">
      <c r="A13" s="135"/>
      <c r="B13" s="135"/>
      <c r="C13" s="124"/>
      <c r="D13" s="135"/>
      <c r="E13" s="135"/>
      <c r="F13" s="135"/>
      <c r="G13" s="135"/>
      <c r="H13" s="124"/>
      <c r="I13" s="124"/>
    </row>
    <row r="14" spans="1:24">
      <c r="A14" s="432" t="s">
        <v>178</v>
      </c>
      <c r="B14" s="432"/>
      <c r="C14" s="432"/>
      <c r="D14" s="432"/>
      <c r="E14" s="432"/>
      <c r="F14" s="122"/>
      <c r="G14" s="122"/>
      <c r="H14" s="124"/>
      <c r="I14" s="124"/>
    </row>
    <row r="15" spans="1:24" ht="33.75">
      <c r="A15" s="136" t="s">
        <v>125</v>
      </c>
      <c r="B15" s="136"/>
      <c r="C15" s="136" t="s">
        <v>134</v>
      </c>
      <c r="D15" s="136" t="s">
        <v>126</v>
      </c>
      <c r="E15" s="136" t="s">
        <v>187</v>
      </c>
      <c r="F15" s="136" t="s">
        <v>191</v>
      </c>
      <c r="G15" s="136" t="s">
        <v>127</v>
      </c>
      <c r="H15" s="124"/>
      <c r="I15" s="124"/>
      <c r="S15" s="377"/>
    </row>
    <row r="16" spans="1:24">
      <c r="A16" s="138">
        <v>18</v>
      </c>
      <c r="B16" s="128"/>
      <c r="C16" s="128">
        <v>12</v>
      </c>
      <c r="D16" s="129">
        <f>'Proposta Cadastro'!G29</f>
        <v>164.8605</v>
      </c>
      <c r="E16" s="129">
        <f>D16*0.3</f>
        <v>49.458149999999996</v>
      </c>
      <c r="F16" s="129">
        <f>D16+E16+0.01</f>
        <v>214.32864999999998</v>
      </c>
      <c r="G16" s="134">
        <f>A16*C16*F16-0.16</f>
        <v>46294.828399999991</v>
      </c>
      <c r="H16" s="124"/>
      <c r="I16" s="137"/>
    </row>
    <row r="17" spans="1:9">
      <c r="A17" s="146"/>
      <c r="B17" s="147"/>
      <c r="C17" s="147"/>
      <c r="D17" s="148"/>
      <c r="E17" s="149"/>
      <c r="F17" s="122"/>
      <c r="G17" s="122"/>
      <c r="H17" s="124"/>
      <c r="I17" s="137"/>
    </row>
    <row r="18" spans="1:9">
      <c r="A18" s="433" t="s">
        <v>132</v>
      </c>
      <c r="B18" s="433"/>
      <c r="C18" s="433"/>
      <c r="D18" s="433"/>
      <c r="E18" s="433"/>
      <c r="F18" s="433"/>
      <c r="G18" s="122"/>
      <c r="H18" s="124"/>
      <c r="I18" s="137"/>
    </row>
    <row r="19" spans="1:9">
      <c r="A19" s="434" t="s">
        <v>131</v>
      </c>
      <c r="B19" s="434"/>
      <c r="C19" s="434"/>
      <c r="D19" s="435">
        <f>I12</f>
        <v>13303668.120000001</v>
      </c>
      <c r="E19" s="435"/>
      <c r="F19" s="435"/>
      <c r="G19" s="122"/>
      <c r="H19" s="124"/>
      <c r="I19" s="137"/>
    </row>
    <row r="20" spans="1:9">
      <c r="A20" s="424" t="s">
        <v>130</v>
      </c>
      <c r="B20" s="424"/>
      <c r="C20" s="424"/>
      <c r="D20" s="425">
        <f>G16</f>
        <v>46294.828399999991</v>
      </c>
      <c r="E20" s="424"/>
      <c r="F20" s="424"/>
      <c r="G20" s="122"/>
      <c r="H20" s="124"/>
      <c r="I20" s="369"/>
    </row>
    <row r="21" spans="1:9">
      <c r="A21" s="426" t="s">
        <v>128</v>
      </c>
      <c r="B21" s="426"/>
      <c r="C21" s="426"/>
      <c r="D21" s="427"/>
      <c r="E21" s="428">
        <f>I12+G16+0.02</f>
        <v>13349962.9684</v>
      </c>
      <c r="F21" s="429"/>
      <c r="G21" s="122"/>
      <c r="H21" s="124"/>
      <c r="I21" s="124"/>
    </row>
    <row r="22" spans="1:9">
      <c r="G22" s="378"/>
    </row>
    <row r="23" spans="1:9">
      <c r="A23" s="436"/>
      <c r="B23" s="436"/>
      <c r="C23" s="436"/>
      <c r="D23" s="436"/>
      <c r="E23" s="436"/>
      <c r="F23" s="436"/>
      <c r="G23" s="436"/>
      <c r="H23" s="436"/>
      <c r="I23" s="436"/>
    </row>
    <row r="26" spans="1:9">
      <c r="A26" s="437" t="s">
        <v>298</v>
      </c>
      <c r="B26" s="437"/>
      <c r="C26" s="437"/>
      <c r="D26" s="437"/>
      <c r="E26" s="437"/>
      <c r="F26" s="437"/>
      <c r="G26" s="437"/>
      <c r="H26" s="437"/>
      <c r="I26" s="437"/>
    </row>
    <row r="27" spans="1:9">
      <c r="A27" s="123"/>
      <c r="B27" s="309"/>
      <c r="C27" s="124"/>
      <c r="D27" s="309"/>
      <c r="E27" s="309"/>
      <c r="F27" s="309"/>
      <c r="G27" s="309"/>
      <c r="H27" s="124"/>
      <c r="I27" s="124"/>
    </row>
    <row r="28" spans="1:9">
      <c r="A28" s="432" t="s">
        <v>133</v>
      </c>
      <c r="B28" s="432"/>
      <c r="C28" s="432"/>
      <c r="D28" s="432"/>
      <c r="E28" s="432"/>
      <c r="F28" s="432"/>
      <c r="G28" s="432"/>
      <c r="H28" s="432"/>
      <c r="I28" s="432"/>
    </row>
    <row r="29" spans="1:9" ht="33.75">
      <c r="A29" s="125" t="s">
        <v>79</v>
      </c>
      <c r="B29" s="125"/>
      <c r="C29" s="126" t="s">
        <v>92</v>
      </c>
      <c r="D29" s="126" t="s">
        <v>93</v>
      </c>
      <c r="E29" s="126" t="s">
        <v>91</v>
      </c>
      <c r="F29" s="126" t="s">
        <v>90</v>
      </c>
      <c r="G29" s="126" t="s">
        <v>124</v>
      </c>
      <c r="H29" s="126" t="s">
        <v>80</v>
      </c>
      <c r="I29" s="127" t="s">
        <v>95</v>
      </c>
    </row>
    <row r="30" spans="1:9" ht="22.5">
      <c r="A30" s="139" t="s">
        <v>177</v>
      </c>
      <c r="B30" s="168"/>
      <c r="C30" s="129">
        <v>8878.36</v>
      </c>
      <c r="D30" s="130">
        <v>1</v>
      </c>
      <c r="E30" s="129">
        <f>D30*C30</f>
        <v>8878.36</v>
      </c>
      <c r="F30" s="130">
        <v>1</v>
      </c>
      <c r="G30" s="130">
        <v>1</v>
      </c>
      <c r="H30" s="129">
        <f>E30*F30</f>
        <v>8878.36</v>
      </c>
      <c r="I30" s="131">
        <f>H30*12-0.02</f>
        <v>106540.3</v>
      </c>
    </row>
    <row r="31" spans="1:9" ht="33.75">
      <c r="A31" s="139" t="s">
        <v>105</v>
      </c>
      <c r="B31" s="128" t="s">
        <v>85</v>
      </c>
      <c r="C31" s="129">
        <v>7527.42</v>
      </c>
      <c r="D31" s="130">
        <v>1</v>
      </c>
      <c r="E31" s="129">
        <f t="shared" ref="E31:E36" si="4">IFERROR(C31*D31,"")</f>
        <v>7527.42</v>
      </c>
      <c r="F31" s="130">
        <v>15</v>
      </c>
      <c r="G31" s="130">
        <f t="shared" ref="G31:G37" si="5">F31*D31</f>
        <v>15</v>
      </c>
      <c r="H31" s="129">
        <f>IFERROR(E31*F31,"")-0.06</f>
        <v>112911.24</v>
      </c>
      <c r="I31" s="131">
        <f>IFERROR(H31*12,"")+0.04</f>
        <v>1354934.9200000002</v>
      </c>
    </row>
    <row r="32" spans="1:9" ht="33.75">
      <c r="A32" s="139" t="s">
        <v>106</v>
      </c>
      <c r="B32" s="128" t="s">
        <v>87</v>
      </c>
      <c r="C32" s="129">
        <v>7089.22</v>
      </c>
      <c r="D32" s="130">
        <v>2</v>
      </c>
      <c r="E32" s="129">
        <f t="shared" si="4"/>
        <v>14178.44</v>
      </c>
      <c r="F32" s="130">
        <v>23</v>
      </c>
      <c r="G32" s="130">
        <f t="shared" si="5"/>
        <v>46</v>
      </c>
      <c r="H32" s="129">
        <f>IFERROR(E32*F32,"")-0.09</f>
        <v>326104.02999999997</v>
      </c>
      <c r="I32" s="131">
        <f>IFERROR(H32*12,"")-0.04</f>
        <v>3913248.3199999994</v>
      </c>
    </row>
    <row r="33" spans="1:9" ht="33.75">
      <c r="A33" s="139" t="s">
        <v>179</v>
      </c>
      <c r="B33" s="128"/>
      <c r="C33" s="129">
        <v>8447.93</v>
      </c>
      <c r="D33" s="130">
        <v>2</v>
      </c>
      <c r="E33" s="129">
        <f t="shared" si="4"/>
        <v>16895.86</v>
      </c>
      <c r="F33" s="130">
        <v>1</v>
      </c>
      <c r="G33" s="130">
        <f t="shared" si="5"/>
        <v>2</v>
      </c>
      <c r="H33" s="129">
        <f>IFERROR(E33*F33,"")+0.01</f>
        <v>16895.87</v>
      </c>
      <c r="I33" s="131">
        <f>IFERROR(H33*12,"")+0.02</f>
        <v>202750.46</v>
      </c>
    </row>
    <row r="34" spans="1:9" ht="33.75">
      <c r="A34" s="139" t="s">
        <v>107</v>
      </c>
      <c r="B34" s="128" t="s">
        <v>104</v>
      </c>
      <c r="C34" s="129">
        <v>7787.3</v>
      </c>
      <c r="D34" s="130">
        <v>2</v>
      </c>
      <c r="E34" s="129">
        <f t="shared" si="4"/>
        <v>15574.6</v>
      </c>
      <c r="F34" s="130">
        <v>9</v>
      </c>
      <c r="G34" s="130">
        <f t="shared" si="5"/>
        <v>18</v>
      </c>
      <c r="H34" s="129">
        <f>IFERROR(E34*F34,"")+0.03</f>
        <v>140171.43</v>
      </c>
      <c r="I34" s="131">
        <f>IFERROR(H34*12,"")+0.04</f>
        <v>1682057.2</v>
      </c>
    </row>
    <row r="35" spans="1:9" ht="33.75">
      <c r="A35" s="139" t="s">
        <v>180</v>
      </c>
      <c r="B35" s="128"/>
      <c r="C35" s="129">
        <v>9284.14</v>
      </c>
      <c r="D35" s="130">
        <v>2</v>
      </c>
      <c r="E35" s="129">
        <f>IFERROR(C35*D35,"")-0.01</f>
        <v>18568.27</v>
      </c>
      <c r="F35" s="130">
        <v>1</v>
      </c>
      <c r="G35" s="130">
        <f t="shared" si="5"/>
        <v>2</v>
      </c>
      <c r="H35" s="129">
        <f>IFERROR(E35*F35,"")+0.02</f>
        <v>18568.29</v>
      </c>
      <c r="I35" s="131">
        <f>IFERROR(H35*12,"")+0.05</f>
        <v>222819.53</v>
      </c>
    </row>
    <row r="36" spans="1:9" ht="22.5">
      <c r="A36" s="139" t="s">
        <v>108</v>
      </c>
      <c r="B36" s="128"/>
      <c r="C36" s="129">
        <v>7245.42</v>
      </c>
      <c r="D36" s="130">
        <v>2</v>
      </c>
      <c r="E36" s="129">
        <f t="shared" si="4"/>
        <v>14490.84</v>
      </c>
      <c r="F36" s="130">
        <v>18</v>
      </c>
      <c r="G36" s="130">
        <f t="shared" si="5"/>
        <v>36</v>
      </c>
      <c r="H36" s="129">
        <f>IFERROR(E36*F36,"")-0.17</f>
        <v>260834.94999999998</v>
      </c>
      <c r="I36" s="131">
        <f>IFERROR(H36*12,"")-0.05</f>
        <v>3130019.35</v>
      </c>
    </row>
    <row r="37" spans="1:9" ht="33.75">
      <c r="A37" s="139" t="s">
        <v>109</v>
      </c>
      <c r="B37" s="128" t="s">
        <v>88</v>
      </c>
      <c r="C37" s="129">
        <v>7857.23</v>
      </c>
      <c r="D37" s="130">
        <v>2</v>
      </c>
      <c r="E37" s="129">
        <f>IFERROR(C37*D37,"")-0.01</f>
        <v>15714.449999999999</v>
      </c>
      <c r="F37" s="130">
        <v>11</v>
      </c>
      <c r="G37" s="130">
        <f t="shared" si="5"/>
        <v>22</v>
      </c>
      <c r="H37" s="129">
        <f>IFERROR(E37*F37,"")+0.02</f>
        <v>172858.96999999997</v>
      </c>
      <c r="I37" s="131">
        <f>IFERROR(H37*12,"")-0.04</f>
        <v>2074307.5999999996</v>
      </c>
    </row>
    <row r="38" spans="1:9">
      <c r="A38" s="439" t="s">
        <v>81</v>
      </c>
      <c r="B38" s="440"/>
      <c r="C38" s="440"/>
      <c r="D38" s="440"/>
      <c r="E38" s="440"/>
      <c r="F38" s="311">
        <f>SUM(F30:F37)</f>
        <v>79</v>
      </c>
      <c r="G38" s="311">
        <f>SUM(G30:G37)</f>
        <v>142</v>
      </c>
      <c r="H38" s="133">
        <f>SUM(H30:H37)</f>
        <v>1057223.1399999999</v>
      </c>
      <c r="I38" s="134">
        <f>SUM(I30:I37)-0</f>
        <v>12686677.68</v>
      </c>
    </row>
    <row r="39" spans="1:9">
      <c r="A39" s="135"/>
      <c r="B39" s="135"/>
      <c r="C39" s="124"/>
      <c r="D39" s="135"/>
      <c r="E39" s="135"/>
      <c r="F39" s="135"/>
      <c r="G39" s="135"/>
      <c r="H39" s="124"/>
      <c r="I39" s="124"/>
    </row>
    <row r="40" spans="1:9">
      <c r="A40" s="432" t="s">
        <v>178</v>
      </c>
      <c r="B40" s="432"/>
      <c r="C40" s="432"/>
      <c r="D40" s="432"/>
      <c r="E40" s="432"/>
      <c r="F40" s="309"/>
      <c r="G40" s="309"/>
      <c r="H40" s="124"/>
      <c r="I40" s="124"/>
    </row>
    <row r="41" spans="1:9" ht="33.75">
      <c r="A41" s="136" t="s">
        <v>125</v>
      </c>
      <c r="B41" s="136"/>
      <c r="C41" s="136" t="s">
        <v>134</v>
      </c>
      <c r="D41" s="136" t="s">
        <v>126</v>
      </c>
      <c r="E41" s="136" t="s">
        <v>187</v>
      </c>
      <c r="F41" s="136" t="s">
        <v>191</v>
      </c>
      <c r="G41" s="136" t="s">
        <v>127</v>
      </c>
      <c r="H41" s="124"/>
      <c r="I41" s="124"/>
    </row>
    <row r="42" spans="1:9">
      <c r="A42" s="310">
        <v>18</v>
      </c>
      <c r="B42" s="128"/>
      <c r="C42" s="128">
        <v>12</v>
      </c>
      <c r="D42" s="129">
        <v>157.01</v>
      </c>
      <c r="E42" s="129">
        <f>D42*0.3</f>
        <v>47.102999999999994</v>
      </c>
      <c r="F42" s="129">
        <f>D42+E42+0</f>
        <v>204.113</v>
      </c>
      <c r="G42" s="134">
        <f>(A42*C42*F42)-0.76</f>
        <v>44087.648000000001</v>
      </c>
      <c r="H42" s="124"/>
      <c r="I42" s="137"/>
    </row>
    <row r="43" spans="1:9">
      <c r="A43" s="146"/>
      <c r="B43" s="147"/>
      <c r="C43" s="147"/>
      <c r="D43" s="148"/>
      <c r="E43" s="149"/>
      <c r="F43" s="309"/>
      <c r="G43" s="309"/>
      <c r="H43" s="124"/>
      <c r="I43" s="137"/>
    </row>
    <row r="44" spans="1:9">
      <c r="A44" s="433" t="s">
        <v>132</v>
      </c>
      <c r="B44" s="433"/>
      <c r="C44" s="433"/>
      <c r="D44" s="433"/>
      <c r="E44" s="433"/>
      <c r="F44" s="433"/>
      <c r="G44" s="309"/>
      <c r="H44" s="369"/>
      <c r="I44" s="137"/>
    </row>
    <row r="45" spans="1:9">
      <c r="A45" s="434" t="s">
        <v>131</v>
      </c>
      <c r="B45" s="434"/>
      <c r="C45" s="434"/>
      <c r="D45" s="435">
        <f>I38</f>
        <v>12686677.68</v>
      </c>
      <c r="E45" s="435"/>
      <c r="F45" s="435"/>
      <c r="G45" s="309"/>
      <c r="H45" s="124"/>
      <c r="I45" s="137"/>
    </row>
    <row r="46" spans="1:9">
      <c r="A46" s="424" t="s">
        <v>130</v>
      </c>
      <c r="B46" s="424"/>
      <c r="C46" s="424"/>
      <c r="D46" s="425">
        <f>G42</f>
        <v>44087.648000000001</v>
      </c>
      <c r="E46" s="424"/>
      <c r="F46" s="424"/>
      <c r="G46" s="309"/>
      <c r="H46" s="124"/>
      <c r="I46" s="124"/>
    </row>
    <row r="47" spans="1:9">
      <c r="A47" s="426" t="s">
        <v>128</v>
      </c>
      <c r="B47" s="426"/>
      <c r="C47" s="426"/>
      <c r="D47" s="427"/>
      <c r="E47" s="428">
        <f>I38+G42+0.02</f>
        <v>12730765.347999999</v>
      </c>
      <c r="F47" s="429"/>
      <c r="G47" s="309"/>
      <c r="H47" s="124"/>
      <c r="I47" s="369"/>
    </row>
  </sheetData>
  <sheetProtection selectLockedCells="1"/>
  <mergeCells count="25">
    <mergeCell ref="R3:X3"/>
    <mergeCell ref="A2:I2"/>
    <mergeCell ref="A14:E14"/>
    <mergeCell ref="A1:I1"/>
    <mergeCell ref="E21:F21"/>
    <mergeCell ref="A18:F18"/>
    <mergeCell ref="D19:F19"/>
    <mergeCell ref="D20:F20"/>
    <mergeCell ref="A19:C19"/>
    <mergeCell ref="A20:C20"/>
    <mergeCell ref="A12:E12"/>
    <mergeCell ref="M4:Q4"/>
    <mergeCell ref="A23:I23"/>
    <mergeCell ref="A21:D21"/>
    <mergeCell ref="A47:D47"/>
    <mergeCell ref="E47:F47"/>
    <mergeCell ref="A26:I26"/>
    <mergeCell ref="A28:I28"/>
    <mergeCell ref="A38:E38"/>
    <mergeCell ref="A40:E40"/>
    <mergeCell ref="A44:F44"/>
    <mergeCell ref="A45:C45"/>
    <mergeCell ref="D45:F45"/>
    <mergeCell ref="A46:C46"/>
    <mergeCell ref="D46:F46"/>
  </mergeCells>
  <pageMargins left="0.511811024" right="0.511811024" top="1.06375" bottom="0.78740157499999996" header="0.31496062000000002" footer="0.31496062000000002"/>
  <pageSetup paperSize="9" scale="38" orientation="portrait" verticalDpi="300" r:id="rId1"/>
  <headerFooter>
    <oddHeader>&amp;CProcesso Administrativo Nº xx.xxxxxx.xxxx/xx
ANEXO xx DO TR
Planilha de Composição de Custos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5"/>
  <sheetViews>
    <sheetView topLeftCell="A22" workbookViewId="0">
      <selection activeCell="B36" sqref="B36"/>
    </sheetView>
  </sheetViews>
  <sheetFormatPr defaultRowHeight="12.75"/>
  <cols>
    <col min="1" max="1" width="92.7109375" style="244" customWidth="1"/>
    <col min="2" max="2" width="15.28515625" style="281" customWidth="1"/>
    <col min="3" max="3" width="12.42578125" style="241" customWidth="1"/>
    <col min="4" max="4" width="10.28515625" style="241" bestFit="1" customWidth="1"/>
    <col min="5" max="12" width="9.140625" style="241"/>
    <col min="13" max="13" width="12.42578125" style="241" customWidth="1"/>
    <col min="14" max="14" width="10.28515625" style="241" bestFit="1" customWidth="1"/>
    <col min="15" max="16384" width="9.140625" style="241"/>
  </cols>
  <sheetData>
    <row r="1" spans="1:14" ht="15.75" thickBot="1">
      <c r="A1" s="239"/>
      <c r="B1" s="240"/>
    </row>
    <row r="2" spans="1:14" ht="16.5" thickBot="1">
      <c r="A2" s="443" t="s">
        <v>240</v>
      </c>
      <c r="B2" s="444"/>
      <c r="C2" s="445" t="s">
        <v>269</v>
      </c>
      <c r="D2" s="445"/>
      <c r="E2" s="445"/>
      <c r="F2" s="445"/>
      <c r="G2" s="445"/>
      <c r="H2" s="445"/>
      <c r="I2" s="445"/>
      <c r="J2" s="445"/>
      <c r="K2" s="445"/>
      <c r="L2" s="445"/>
    </row>
    <row r="3" spans="1:14" s="244" customFormat="1" ht="16.5" thickBot="1">
      <c r="A3" s="242" t="s">
        <v>241</v>
      </c>
      <c r="B3" s="243"/>
      <c r="C3" s="445"/>
      <c r="D3" s="445"/>
      <c r="E3" s="445"/>
      <c r="F3" s="445"/>
      <c r="G3" s="445"/>
      <c r="H3" s="445"/>
      <c r="I3" s="445"/>
      <c r="J3" s="445"/>
      <c r="K3" s="445"/>
      <c r="L3" s="445"/>
    </row>
    <row r="4" spans="1:14" ht="15.75" thickBot="1">
      <c r="A4" s="245" t="s">
        <v>242</v>
      </c>
      <c r="B4" s="246"/>
      <c r="C4" s="445"/>
      <c r="D4" s="445"/>
      <c r="E4" s="445"/>
      <c r="F4" s="445"/>
      <c r="G4" s="445"/>
      <c r="H4" s="445"/>
      <c r="I4" s="445"/>
      <c r="J4" s="445"/>
      <c r="K4" s="445"/>
      <c r="L4" s="445"/>
    </row>
    <row r="5" spans="1:14" ht="15">
      <c r="A5" s="247" t="s">
        <v>243</v>
      </c>
      <c r="B5" s="303">
        <v>8.3299999999999999E-2</v>
      </c>
      <c r="C5" s="445"/>
      <c r="D5" s="445"/>
      <c r="E5" s="445"/>
      <c r="F5" s="445"/>
      <c r="G5" s="445"/>
      <c r="H5" s="445"/>
      <c r="I5" s="445"/>
      <c r="J5" s="445"/>
      <c r="K5" s="445"/>
      <c r="L5" s="445"/>
    </row>
    <row r="6" spans="1:14" s="251" customFormat="1" ht="15">
      <c r="A6" s="248" t="s">
        <v>244</v>
      </c>
      <c r="B6" s="304">
        <v>8.9300000000000004E-2</v>
      </c>
      <c r="C6" s="445"/>
      <c r="D6" s="445"/>
      <c r="E6" s="445"/>
      <c r="F6" s="445"/>
      <c r="G6" s="445"/>
      <c r="H6" s="445"/>
      <c r="I6" s="445"/>
      <c r="J6" s="445"/>
      <c r="K6" s="445"/>
      <c r="L6" s="445"/>
      <c r="M6" s="250"/>
    </row>
    <row r="7" spans="1:14" s="251" customFormat="1" ht="15">
      <c r="A7" s="248" t="s">
        <v>275</v>
      </c>
      <c r="B7" s="304">
        <v>3.1699999999999999E-2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250"/>
    </row>
    <row r="8" spans="1:14" s="251" customFormat="1" ht="15.75" thickBot="1">
      <c r="A8" s="248" t="s">
        <v>47</v>
      </c>
      <c r="B8" s="249">
        <f>SUM(B5:B7)</f>
        <v>0.20430000000000001</v>
      </c>
      <c r="C8" s="445"/>
      <c r="D8" s="445"/>
      <c r="E8" s="445"/>
      <c r="F8" s="445"/>
      <c r="G8" s="445"/>
      <c r="H8" s="445"/>
      <c r="I8" s="445"/>
      <c r="J8" s="445"/>
      <c r="K8" s="445"/>
      <c r="L8" s="445"/>
      <c r="M8" s="250"/>
    </row>
    <row r="9" spans="1:14" s="251" customFormat="1" ht="15.75" hidden="1" thickBot="1">
      <c r="A9" s="259" t="s">
        <v>264</v>
      </c>
      <c r="B9" s="282">
        <f>B8*B21</f>
        <v>7.2117900000000013E-2</v>
      </c>
      <c r="C9" s="445"/>
      <c r="D9" s="445"/>
      <c r="E9" s="445"/>
      <c r="F9" s="445"/>
      <c r="G9" s="445"/>
      <c r="H9" s="445"/>
      <c r="I9" s="445"/>
      <c r="J9" s="445"/>
      <c r="K9" s="445"/>
      <c r="L9" s="445"/>
      <c r="M9" s="250"/>
    </row>
    <row r="10" spans="1:14" s="244" customFormat="1" ht="15.75" thickBot="1">
      <c r="A10" s="252" t="s">
        <v>245</v>
      </c>
      <c r="B10" s="253">
        <f>B8</f>
        <v>0.20430000000000001</v>
      </c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N10" s="254"/>
    </row>
    <row r="11" spans="1:14" s="257" customFormat="1" ht="9" customHeight="1" thickBot="1">
      <c r="A11" s="255"/>
      <c r="B11" s="256"/>
      <c r="C11" s="445"/>
      <c r="D11" s="445"/>
      <c r="E11" s="445"/>
      <c r="F11" s="445"/>
      <c r="G11" s="445"/>
      <c r="H11" s="445"/>
      <c r="I11" s="445"/>
      <c r="J11" s="445"/>
      <c r="K11" s="445"/>
      <c r="L11" s="445"/>
      <c r="N11" s="258"/>
    </row>
    <row r="12" spans="1:14" s="251" customFormat="1" ht="16.5" customHeight="1" thickBot="1">
      <c r="A12" s="446" t="s">
        <v>246</v>
      </c>
      <c r="B12" s="447"/>
      <c r="C12" s="445"/>
      <c r="D12" s="445"/>
      <c r="E12" s="445"/>
      <c r="F12" s="445"/>
      <c r="G12" s="445"/>
      <c r="H12" s="445"/>
      <c r="I12" s="445"/>
      <c r="J12" s="445"/>
      <c r="K12" s="445"/>
      <c r="L12" s="445"/>
    </row>
    <row r="13" spans="1:14" s="251" customFormat="1" ht="15">
      <c r="A13" s="259" t="s">
        <v>247</v>
      </c>
      <c r="B13" s="260">
        <v>0.2</v>
      </c>
      <c r="C13" s="445"/>
      <c r="D13" s="445"/>
      <c r="E13" s="445"/>
      <c r="F13" s="445"/>
      <c r="G13" s="445"/>
      <c r="H13" s="445"/>
      <c r="I13" s="445"/>
      <c r="J13" s="445"/>
      <c r="K13" s="445"/>
      <c r="L13" s="445"/>
    </row>
    <row r="14" spans="1:14" ht="15">
      <c r="A14" s="259" t="s">
        <v>248</v>
      </c>
      <c r="B14" s="260">
        <v>2.5000000000000001E-2</v>
      </c>
      <c r="C14" s="445"/>
      <c r="D14" s="445"/>
      <c r="E14" s="445"/>
      <c r="F14" s="445"/>
      <c r="G14" s="445"/>
      <c r="H14" s="445"/>
      <c r="I14" s="445"/>
      <c r="J14" s="445"/>
      <c r="K14" s="445"/>
      <c r="L14" s="445"/>
    </row>
    <row r="15" spans="1:14" s="251" customFormat="1" ht="15">
      <c r="A15" s="259" t="s">
        <v>249</v>
      </c>
      <c r="B15" s="260">
        <v>1.4999999999999999E-2</v>
      </c>
      <c r="C15" s="445"/>
      <c r="D15" s="445"/>
      <c r="E15" s="445"/>
      <c r="F15" s="445"/>
      <c r="G15" s="445"/>
      <c r="H15" s="445"/>
      <c r="I15" s="445"/>
      <c r="J15" s="445"/>
      <c r="K15" s="445"/>
      <c r="L15" s="445"/>
    </row>
    <row r="16" spans="1:14" s="251" customFormat="1" ht="15">
      <c r="A16" s="259" t="s">
        <v>250</v>
      </c>
      <c r="B16" s="260">
        <v>1.4999999999999999E-2</v>
      </c>
      <c r="C16" s="445"/>
      <c r="D16" s="445"/>
      <c r="E16" s="445"/>
      <c r="F16" s="445"/>
      <c r="G16" s="445"/>
      <c r="H16" s="445"/>
      <c r="I16" s="445"/>
      <c r="J16" s="445"/>
      <c r="K16" s="445"/>
      <c r="L16" s="445"/>
    </row>
    <row r="17" spans="1:20" s="251" customFormat="1" ht="15">
      <c r="A17" s="259" t="s">
        <v>251</v>
      </c>
      <c r="B17" s="260">
        <v>0.01</v>
      </c>
      <c r="C17" s="445"/>
      <c r="D17" s="445"/>
      <c r="E17" s="445"/>
      <c r="F17" s="445"/>
      <c r="G17" s="445"/>
      <c r="H17" s="445"/>
      <c r="I17" s="445"/>
      <c r="J17" s="445"/>
      <c r="K17" s="445"/>
      <c r="L17" s="445"/>
    </row>
    <row r="18" spans="1:20" s="244" customFormat="1" ht="15">
      <c r="A18" s="259" t="s">
        <v>252</v>
      </c>
      <c r="B18" s="260">
        <v>6.0000000000000001E-3</v>
      </c>
      <c r="C18" s="445"/>
      <c r="D18" s="445"/>
      <c r="E18" s="445"/>
      <c r="F18" s="445"/>
      <c r="G18" s="445"/>
      <c r="H18" s="445"/>
      <c r="I18" s="445"/>
      <c r="J18" s="445"/>
      <c r="K18" s="445"/>
      <c r="L18" s="445"/>
    </row>
    <row r="19" spans="1:20" s="244" customFormat="1" ht="15">
      <c r="A19" s="259" t="s">
        <v>253</v>
      </c>
      <c r="B19" s="260">
        <v>2E-3</v>
      </c>
      <c r="C19" s="445"/>
      <c r="D19" s="445"/>
      <c r="E19" s="445"/>
      <c r="F19" s="445"/>
      <c r="G19" s="445"/>
      <c r="H19" s="445"/>
      <c r="I19" s="445"/>
      <c r="J19" s="445"/>
      <c r="K19" s="445"/>
      <c r="L19" s="445"/>
    </row>
    <row r="20" spans="1:20" ht="15.75" thickBot="1">
      <c r="A20" s="259" t="s">
        <v>254</v>
      </c>
      <c r="B20" s="260">
        <v>0.08</v>
      </c>
      <c r="C20" s="445"/>
      <c r="D20" s="445"/>
      <c r="E20" s="445"/>
      <c r="F20" s="445"/>
      <c r="G20" s="445"/>
      <c r="H20" s="445"/>
      <c r="I20" s="445"/>
      <c r="J20" s="445"/>
      <c r="K20" s="445"/>
      <c r="L20" s="445"/>
    </row>
    <row r="21" spans="1:20" s="251" customFormat="1" ht="15" thickBot="1">
      <c r="A21" s="252" t="s">
        <v>255</v>
      </c>
      <c r="B21" s="261">
        <f>SUM(B13:B20)</f>
        <v>0.35300000000000004</v>
      </c>
      <c r="C21" s="445"/>
      <c r="D21" s="445"/>
      <c r="E21" s="445"/>
      <c r="F21" s="445"/>
      <c r="G21" s="445"/>
      <c r="H21" s="445"/>
      <c r="I21" s="445"/>
      <c r="J21" s="445"/>
      <c r="K21" s="445"/>
      <c r="L21" s="445"/>
      <c r="N21" s="262"/>
    </row>
    <row r="22" spans="1:20" s="257" customFormat="1" ht="9" customHeight="1" thickBot="1">
      <c r="A22" s="255"/>
      <c r="B22" s="256"/>
      <c r="C22" s="445"/>
      <c r="D22" s="445"/>
      <c r="E22" s="445"/>
      <c r="F22" s="445"/>
      <c r="G22" s="445"/>
      <c r="H22" s="445"/>
      <c r="I22" s="445"/>
      <c r="J22" s="445"/>
      <c r="K22" s="445"/>
      <c r="L22" s="445"/>
      <c r="N22" s="258"/>
    </row>
    <row r="23" spans="1:20" s="263" customFormat="1" ht="16.5" thickBot="1">
      <c r="A23" s="446" t="s">
        <v>256</v>
      </c>
      <c r="B23" s="447"/>
      <c r="C23" s="445"/>
      <c r="D23" s="445"/>
      <c r="E23" s="445"/>
      <c r="F23" s="445"/>
      <c r="G23" s="445"/>
      <c r="H23" s="445"/>
      <c r="I23" s="445"/>
      <c r="J23" s="445"/>
      <c r="K23" s="445"/>
      <c r="L23" s="445"/>
    </row>
    <row r="24" spans="1:20" s="251" customFormat="1" ht="15.75" thickBot="1">
      <c r="A24" s="245" t="s">
        <v>257</v>
      </c>
      <c r="B24" s="246"/>
      <c r="C24" s="445"/>
      <c r="D24" s="445"/>
      <c r="E24" s="445"/>
      <c r="F24" s="445"/>
      <c r="G24" s="445"/>
      <c r="H24" s="445"/>
      <c r="I24" s="445"/>
      <c r="J24" s="445"/>
      <c r="K24" s="445"/>
      <c r="L24" s="445"/>
    </row>
    <row r="25" spans="1:20" s="251" customFormat="1" ht="57.75" customHeight="1">
      <c r="A25" s="259" t="s">
        <v>270</v>
      </c>
      <c r="B25" s="266">
        <f>((1/12)*1%)</f>
        <v>8.3333333333333328E-4</v>
      </c>
      <c r="C25" s="445"/>
      <c r="D25" s="445"/>
      <c r="E25" s="445"/>
      <c r="F25" s="445"/>
      <c r="G25" s="445"/>
      <c r="H25" s="445"/>
      <c r="I25" s="445"/>
      <c r="J25" s="445"/>
      <c r="K25" s="445"/>
      <c r="L25" s="445"/>
      <c r="M25" s="448"/>
      <c r="N25" s="449"/>
      <c r="O25" s="449"/>
      <c r="P25" s="449"/>
      <c r="Q25" s="449"/>
      <c r="R25" s="449"/>
      <c r="S25" s="449"/>
      <c r="T25" s="449"/>
    </row>
    <row r="26" spans="1:20" s="244" customFormat="1" ht="15">
      <c r="A26" s="264" t="s">
        <v>265</v>
      </c>
      <c r="B26" s="266">
        <f>B25*8%</f>
        <v>6.666666666666667E-5</v>
      </c>
      <c r="C26" s="445"/>
      <c r="D26" s="445"/>
      <c r="E26" s="445"/>
      <c r="F26" s="445"/>
      <c r="G26" s="445"/>
      <c r="H26" s="445"/>
      <c r="I26" s="445"/>
      <c r="J26" s="445"/>
      <c r="K26" s="445"/>
      <c r="L26" s="445"/>
    </row>
    <row r="27" spans="1:20" s="244" customFormat="1" ht="15">
      <c r="A27" s="283" t="s">
        <v>266</v>
      </c>
      <c r="B27" s="266">
        <v>3.4000000000000002E-2</v>
      </c>
      <c r="C27" s="445"/>
      <c r="D27" s="445"/>
      <c r="E27" s="445"/>
      <c r="F27" s="445"/>
      <c r="G27" s="445"/>
      <c r="H27" s="445"/>
      <c r="I27" s="445"/>
      <c r="J27" s="445"/>
      <c r="K27" s="445"/>
      <c r="L27" s="445"/>
    </row>
    <row r="28" spans="1:20" s="267" customFormat="1" ht="63.75">
      <c r="A28" s="265" t="s">
        <v>278</v>
      </c>
      <c r="B28" s="266">
        <f>((7/30/12)*1%)</f>
        <v>1.9444444444444446E-4</v>
      </c>
      <c r="C28" s="445"/>
      <c r="D28" s="445"/>
      <c r="E28" s="445"/>
      <c r="F28" s="445"/>
      <c r="G28" s="445"/>
      <c r="H28" s="445"/>
      <c r="I28" s="445"/>
      <c r="J28" s="445"/>
      <c r="K28" s="445"/>
      <c r="L28" s="445"/>
      <c r="M28" s="448"/>
      <c r="N28" s="449"/>
      <c r="O28" s="449"/>
      <c r="P28" s="449"/>
      <c r="Q28" s="449"/>
      <c r="R28" s="449"/>
      <c r="S28" s="449"/>
      <c r="T28" s="449"/>
    </row>
    <row r="29" spans="1:20" s="244" customFormat="1" ht="15">
      <c r="A29" s="264" t="s">
        <v>258</v>
      </c>
      <c r="B29" s="266">
        <f>B28*B21</f>
        <v>6.8638888888888902E-5</v>
      </c>
      <c r="C29" s="445"/>
      <c r="D29" s="445"/>
      <c r="E29" s="445"/>
      <c r="F29" s="445"/>
      <c r="G29" s="445"/>
      <c r="H29" s="445"/>
      <c r="I29" s="445"/>
      <c r="J29" s="445"/>
      <c r="K29" s="445"/>
      <c r="L29" s="445"/>
    </row>
    <row r="30" spans="1:20" s="244" customFormat="1" ht="15.75" thickBot="1">
      <c r="A30" s="284" t="s">
        <v>267</v>
      </c>
      <c r="B30" s="266">
        <v>6.0000000000000001E-3</v>
      </c>
      <c r="C30" s="445"/>
      <c r="D30" s="445"/>
      <c r="E30" s="445"/>
      <c r="F30" s="445"/>
      <c r="G30" s="445"/>
      <c r="H30" s="445"/>
      <c r="I30" s="445"/>
      <c r="J30" s="445"/>
      <c r="K30" s="445"/>
      <c r="L30" s="445"/>
      <c r="M30" s="254"/>
    </row>
    <row r="31" spans="1:20" s="251" customFormat="1" ht="15" thickBot="1">
      <c r="A31" s="268" t="s">
        <v>259</v>
      </c>
      <c r="B31" s="269">
        <f>SUM(B25:B30)</f>
        <v>4.1163083333333329E-2</v>
      </c>
      <c r="C31" s="445"/>
      <c r="D31" s="445"/>
      <c r="E31" s="445"/>
      <c r="F31" s="445"/>
      <c r="G31" s="445"/>
      <c r="H31" s="445"/>
      <c r="I31" s="445"/>
      <c r="J31" s="445"/>
      <c r="K31" s="445"/>
      <c r="L31" s="445"/>
      <c r="N31" s="262"/>
    </row>
    <row r="32" spans="1:20" s="251" customFormat="1" ht="15.75" thickBot="1">
      <c r="A32" s="268"/>
      <c r="B32" s="270"/>
      <c r="C32" s="445"/>
      <c r="D32" s="445"/>
      <c r="E32" s="445"/>
      <c r="F32" s="445"/>
      <c r="G32" s="445"/>
      <c r="H32" s="445"/>
      <c r="I32" s="445"/>
      <c r="J32" s="445"/>
      <c r="K32" s="445"/>
      <c r="L32" s="445"/>
    </row>
    <row r="33" spans="1:14" s="263" customFormat="1" ht="16.5" thickBot="1">
      <c r="A33" s="446" t="s">
        <v>260</v>
      </c>
      <c r="B33" s="447"/>
      <c r="C33" s="445"/>
      <c r="D33" s="445"/>
      <c r="E33" s="445"/>
      <c r="F33" s="445"/>
      <c r="G33" s="445"/>
      <c r="H33" s="445"/>
      <c r="I33" s="445"/>
      <c r="J33" s="445"/>
      <c r="K33" s="445"/>
      <c r="L33" s="445"/>
    </row>
    <row r="34" spans="1:14" s="251" customFormat="1" ht="15.75" thickBot="1">
      <c r="A34" s="245" t="s">
        <v>261</v>
      </c>
      <c r="B34" s="246"/>
      <c r="C34" s="445"/>
      <c r="D34" s="445"/>
      <c r="E34" s="445"/>
      <c r="F34" s="445"/>
      <c r="G34" s="445"/>
      <c r="H34" s="445"/>
      <c r="I34" s="445"/>
      <c r="J34" s="445"/>
      <c r="K34" s="445"/>
      <c r="L34" s="445"/>
    </row>
    <row r="35" spans="1:14" s="244" customFormat="1" ht="15">
      <c r="A35" s="259" t="s">
        <v>271</v>
      </c>
      <c r="B35" s="302">
        <v>0</v>
      </c>
      <c r="C35" s="445"/>
      <c r="D35" s="445"/>
      <c r="E35" s="445"/>
      <c r="F35" s="445"/>
      <c r="G35" s="445"/>
      <c r="H35" s="445"/>
      <c r="I35" s="445"/>
      <c r="J35" s="445"/>
      <c r="K35" s="445"/>
      <c r="L35" s="445"/>
    </row>
    <row r="36" spans="1:14" s="244" customFormat="1" ht="35.25">
      <c r="A36" s="259" t="s">
        <v>274</v>
      </c>
      <c r="B36" s="266">
        <f>((2.96/30/12)*2%)</f>
        <v>1.6444444444444446E-4</v>
      </c>
      <c r="C36" s="445"/>
      <c r="D36" s="445"/>
      <c r="E36" s="445"/>
      <c r="F36" s="445"/>
      <c r="G36" s="445"/>
      <c r="H36" s="445"/>
      <c r="I36" s="445"/>
      <c r="J36" s="445"/>
      <c r="K36" s="445"/>
      <c r="L36" s="445"/>
    </row>
    <row r="37" spans="1:14" s="251" customFormat="1" ht="35.25">
      <c r="A37" s="265" t="s">
        <v>272</v>
      </c>
      <c r="B37" s="266">
        <f>((5/30)/12*1.5%)</f>
        <v>2.0833333333333332E-4</v>
      </c>
      <c r="C37" s="445"/>
      <c r="D37" s="445"/>
      <c r="E37" s="445"/>
      <c r="F37" s="445"/>
      <c r="G37" s="445"/>
      <c r="H37" s="445"/>
      <c r="I37" s="445"/>
      <c r="J37" s="445"/>
      <c r="K37" s="445"/>
      <c r="L37" s="445"/>
    </row>
    <row r="38" spans="1:14" s="244" customFormat="1" ht="48.75">
      <c r="A38" s="271" t="s">
        <v>279</v>
      </c>
      <c r="B38" s="266">
        <f>((15/30/12)*0.5%)</f>
        <v>2.0833333333333332E-4</v>
      </c>
      <c r="C38" s="445"/>
      <c r="D38" s="445"/>
      <c r="E38" s="445"/>
      <c r="F38" s="445"/>
      <c r="G38" s="445"/>
      <c r="H38" s="445"/>
      <c r="I38" s="445"/>
      <c r="J38" s="445"/>
      <c r="K38" s="445"/>
      <c r="L38" s="445"/>
    </row>
    <row r="39" spans="1:14" ht="81">
      <c r="A39" s="259" t="s">
        <v>273</v>
      </c>
      <c r="B39" s="266">
        <f>(((1/12*4)+(1.33/12*4))/12*0.0025)</f>
        <v>1.6180555555555555E-4</v>
      </c>
      <c r="C39" s="445"/>
      <c r="D39" s="445"/>
      <c r="E39" s="445"/>
      <c r="F39" s="445"/>
      <c r="G39" s="445"/>
      <c r="H39" s="445"/>
      <c r="I39" s="445"/>
      <c r="J39" s="445"/>
      <c r="K39" s="445"/>
      <c r="L39" s="445"/>
    </row>
    <row r="40" spans="1:14" ht="21.75" customHeight="1">
      <c r="A40" s="259" t="s">
        <v>268</v>
      </c>
      <c r="B40" s="266">
        <v>0</v>
      </c>
      <c r="C40" s="445"/>
      <c r="D40" s="445"/>
      <c r="E40" s="445"/>
      <c r="F40" s="445"/>
      <c r="G40" s="445"/>
      <c r="H40" s="445"/>
      <c r="I40" s="445"/>
      <c r="J40" s="445"/>
      <c r="K40" s="445"/>
      <c r="L40" s="445"/>
    </row>
    <row r="41" spans="1:14" s="251" customFormat="1" ht="15" customHeight="1">
      <c r="A41" s="272" t="s">
        <v>262</v>
      </c>
      <c r="B41" s="249">
        <f>SUM(B35:B40)</f>
        <v>7.4291666666666657E-4</v>
      </c>
      <c r="C41" s="445"/>
      <c r="D41" s="445"/>
      <c r="E41" s="445"/>
      <c r="F41" s="445"/>
      <c r="G41" s="445"/>
      <c r="H41" s="445"/>
      <c r="I41" s="445"/>
      <c r="J41" s="445"/>
      <c r="K41" s="445"/>
      <c r="L41" s="445"/>
    </row>
    <row r="42" spans="1:14" s="251" customFormat="1" ht="15" customHeight="1" thickBot="1">
      <c r="A42" s="273" t="s">
        <v>255</v>
      </c>
      <c r="B42" s="274">
        <f>SUM(B41:B41)</f>
        <v>7.4291666666666657E-4</v>
      </c>
      <c r="C42" s="445"/>
      <c r="D42" s="445"/>
      <c r="E42" s="445"/>
      <c r="F42" s="445"/>
      <c r="G42" s="445"/>
      <c r="H42" s="445"/>
      <c r="I42" s="445"/>
      <c r="J42" s="445"/>
      <c r="K42" s="445"/>
      <c r="L42" s="445"/>
      <c r="N42" s="262"/>
    </row>
    <row r="43" spans="1:14" s="267" customFormat="1" ht="16.5" thickBot="1">
      <c r="A43" s="275" t="s">
        <v>263</v>
      </c>
      <c r="B43" s="276">
        <f>B10+B21+B31+B42</f>
        <v>0.59920600000000002</v>
      </c>
      <c r="C43" s="445"/>
      <c r="D43" s="445"/>
      <c r="E43" s="445"/>
      <c r="F43" s="445"/>
      <c r="G43" s="445"/>
      <c r="H43" s="445"/>
      <c r="I43" s="445"/>
      <c r="J43" s="445"/>
      <c r="K43" s="445"/>
      <c r="L43" s="445"/>
      <c r="N43" s="277"/>
    </row>
    <row r="44" spans="1:14" s="279" customFormat="1">
      <c r="A44" s="278"/>
      <c r="B44" s="278"/>
    </row>
    <row r="45" spans="1:14" s="279" customFormat="1">
      <c r="A45" s="278"/>
      <c r="B45" s="278"/>
    </row>
    <row r="46" spans="1:14" s="279" customFormat="1">
      <c r="A46" s="278"/>
      <c r="B46" s="285"/>
    </row>
    <row r="47" spans="1:14" s="279" customFormat="1">
      <c r="A47" s="278"/>
      <c r="B47" s="285">
        <f>B43+B46</f>
        <v>0.59920600000000002</v>
      </c>
    </row>
    <row r="48" spans="1:14" s="279" customFormat="1">
      <c r="A48" s="278"/>
      <c r="B48" s="285">
        <f>B10*B21</f>
        <v>7.2117900000000013E-2</v>
      </c>
    </row>
    <row r="49" spans="1:2" s="279" customFormat="1">
      <c r="A49" s="278"/>
      <c r="B49" s="285">
        <f>SUM(B47:B48)</f>
        <v>0.67132389999999997</v>
      </c>
    </row>
    <row r="50" spans="1:2" s="279" customFormat="1">
      <c r="A50" s="278"/>
      <c r="B50" s="278"/>
    </row>
    <row r="51" spans="1:2" s="279" customFormat="1">
      <c r="A51" s="278"/>
      <c r="B51" s="278"/>
    </row>
    <row r="52" spans="1:2" s="279" customFormat="1">
      <c r="A52" s="278"/>
      <c r="B52" s="278"/>
    </row>
    <row r="53" spans="1:2" s="279" customFormat="1">
      <c r="A53" s="280"/>
      <c r="B53" s="278"/>
    </row>
    <row r="54" spans="1:2" s="279" customFormat="1">
      <c r="A54" s="278"/>
      <c r="B54" s="278"/>
    </row>
    <row r="55" spans="1:2" s="279" customFormat="1">
      <c r="A55" s="278"/>
      <c r="B55" s="278"/>
    </row>
    <row r="56" spans="1:2" s="279" customFormat="1">
      <c r="A56" s="278"/>
      <c r="B56" s="278"/>
    </row>
    <row r="57" spans="1:2" s="279" customFormat="1">
      <c r="A57" s="278"/>
      <c r="B57" s="278"/>
    </row>
    <row r="58" spans="1:2" s="279" customFormat="1">
      <c r="A58" s="278"/>
      <c r="B58" s="278"/>
    </row>
    <row r="59" spans="1:2" s="279" customFormat="1">
      <c r="A59" s="278"/>
      <c r="B59" s="278"/>
    </row>
    <row r="60" spans="1:2" s="279" customFormat="1">
      <c r="A60" s="278"/>
      <c r="B60" s="278"/>
    </row>
    <row r="61" spans="1:2" s="279" customFormat="1">
      <c r="A61" s="278"/>
      <c r="B61" s="278"/>
    </row>
    <row r="62" spans="1:2" s="279" customFormat="1">
      <c r="A62" s="278"/>
      <c r="B62" s="278"/>
    </row>
    <row r="63" spans="1:2" s="279" customFormat="1">
      <c r="A63" s="278"/>
      <c r="B63" s="278"/>
    </row>
    <row r="64" spans="1:2" s="279" customFormat="1">
      <c r="A64" s="278"/>
      <c r="B64" s="278"/>
    </row>
    <row r="65" spans="1:2" s="279" customFormat="1">
      <c r="A65" s="278"/>
      <c r="B65" s="278"/>
    </row>
    <row r="66" spans="1:2" s="279" customFormat="1">
      <c r="A66" s="278"/>
      <c r="B66" s="278"/>
    </row>
    <row r="67" spans="1:2" s="279" customFormat="1">
      <c r="A67" s="278"/>
      <c r="B67" s="278"/>
    </row>
    <row r="68" spans="1:2" s="279" customFormat="1">
      <c r="A68" s="278"/>
      <c r="B68" s="278"/>
    </row>
    <row r="69" spans="1:2" s="279" customFormat="1">
      <c r="A69" s="278"/>
      <c r="B69" s="278"/>
    </row>
    <row r="70" spans="1:2" s="279" customFormat="1">
      <c r="A70" s="278"/>
      <c r="B70" s="278"/>
    </row>
    <row r="71" spans="1:2" s="279" customFormat="1">
      <c r="A71" s="278"/>
      <c r="B71" s="278"/>
    </row>
    <row r="72" spans="1:2" s="279" customFormat="1">
      <c r="A72" s="278"/>
      <c r="B72" s="278"/>
    </row>
    <row r="73" spans="1:2" s="279" customFormat="1">
      <c r="A73" s="278"/>
      <c r="B73" s="278"/>
    </row>
    <row r="74" spans="1:2" s="279" customFormat="1">
      <c r="A74" s="278"/>
      <c r="B74" s="278"/>
    </row>
    <row r="75" spans="1:2" s="279" customFormat="1">
      <c r="A75" s="278"/>
      <c r="B75" s="278"/>
    </row>
    <row r="76" spans="1:2" s="279" customFormat="1">
      <c r="A76" s="278"/>
      <c r="B76" s="278"/>
    </row>
    <row r="77" spans="1:2" s="279" customFormat="1">
      <c r="A77" s="278"/>
      <c r="B77" s="278"/>
    </row>
    <row r="78" spans="1:2" s="279" customFormat="1">
      <c r="A78" s="278"/>
      <c r="B78" s="278"/>
    </row>
    <row r="79" spans="1:2" s="279" customFormat="1">
      <c r="A79" s="278"/>
      <c r="B79" s="278"/>
    </row>
    <row r="80" spans="1:2" s="279" customFormat="1">
      <c r="A80" s="278"/>
      <c r="B80" s="278"/>
    </row>
    <row r="81" spans="1:2" s="279" customFormat="1">
      <c r="A81" s="278"/>
      <c r="B81" s="278"/>
    </row>
    <row r="82" spans="1:2" s="279" customFormat="1">
      <c r="A82" s="278"/>
      <c r="B82" s="278"/>
    </row>
    <row r="83" spans="1:2" s="279" customFormat="1">
      <c r="A83" s="278"/>
      <c r="B83" s="278"/>
    </row>
    <row r="84" spans="1:2" s="279" customFormat="1">
      <c r="A84" s="278"/>
      <c r="B84" s="278"/>
    </row>
    <row r="85" spans="1:2" s="279" customFormat="1">
      <c r="A85" s="278"/>
      <c r="B85" s="278"/>
    </row>
    <row r="86" spans="1:2" s="279" customFormat="1">
      <c r="A86" s="278"/>
      <c r="B86" s="278"/>
    </row>
    <row r="87" spans="1:2" s="279" customFormat="1">
      <c r="A87" s="278"/>
      <c r="B87" s="278"/>
    </row>
    <row r="88" spans="1:2" s="279" customFormat="1">
      <c r="A88" s="278"/>
      <c r="B88" s="278"/>
    </row>
    <row r="89" spans="1:2" s="279" customFormat="1">
      <c r="A89" s="278"/>
      <c r="B89" s="278"/>
    </row>
    <row r="90" spans="1:2" s="279" customFormat="1">
      <c r="A90" s="278"/>
      <c r="B90" s="278"/>
    </row>
    <row r="91" spans="1:2" s="279" customFormat="1">
      <c r="A91" s="278"/>
      <c r="B91" s="278"/>
    </row>
    <row r="92" spans="1:2" s="279" customFormat="1">
      <c r="A92" s="278"/>
      <c r="B92" s="278"/>
    </row>
    <row r="93" spans="1:2" s="279" customFormat="1">
      <c r="A93" s="278"/>
      <c r="B93" s="278"/>
    </row>
    <row r="94" spans="1:2" s="279" customFormat="1">
      <c r="A94" s="278"/>
      <c r="B94" s="278"/>
    </row>
    <row r="95" spans="1:2" s="279" customFormat="1">
      <c r="A95" s="278"/>
      <c r="B95" s="278"/>
    </row>
    <row r="96" spans="1:2" s="279" customFormat="1">
      <c r="A96" s="278"/>
      <c r="B96" s="278"/>
    </row>
    <row r="97" spans="1:2" s="279" customFormat="1">
      <c r="A97" s="278"/>
      <c r="B97" s="278"/>
    </row>
    <row r="98" spans="1:2" s="279" customFormat="1">
      <c r="A98" s="278"/>
      <c r="B98" s="278"/>
    </row>
    <row r="99" spans="1:2" s="279" customFormat="1">
      <c r="A99" s="278"/>
      <c r="B99" s="278"/>
    </row>
    <row r="100" spans="1:2" s="279" customFormat="1">
      <c r="A100" s="278"/>
      <c r="B100" s="278"/>
    </row>
    <row r="101" spans="1:2" s="279" customFormat="1">
      <c r="A101" s="278"/>
      <c r="B101" s="278"/>
    </row>
    <row r="102" spans="1:2" s="279" customFormat="1">
      <c r="A102" s="278"/>
      <c r="B102" s="278"/>
    </row>
    <row r="103" spans="1:2" s="279" customFormat="1">
      <c r="A103" s="278"/>
      <c r="B103" s="278"/>
    </row>
    <row r="104" spans="1:2" s="279" customFormat="1">
      <c r="A104" s="278"/>
      <c r="B104" s="278"/>
    </row>
    <row r="105" spans="1:2" s="279" customFormat="1">
      <c r="A105" s="278"/>
      <c r="B105" s="278"/>
    </row>
    <row r="106" spans="1:2" s="279" customFormat="1">
      <c r="A106" s="278"/>
      <c r="B106" s="278"/>
    </row>
    <row r="107" spans="1:2" s="279" customFormat="1">
      <c r="A107" s="278"/>
      <c r="B107" s="278"/>
    </row>
    <row r="108" spans="1:2" s="279" customFormat="1">
      <c r="A108" s="278"/>
      <c r="B108" s="278"/>
    </row>
    <row r="109" spans="1:2" s="279" customFormat="1">
      <c r="A109" s="278"/>
      <c r="B109" s="278"/>
    </row>
    <row r="110" spans="1:2" s="279" customFormat="1">
      <c r="A110" s="278"/>
      <c r="B110" s="278"/>
    </row>
    <row r="111" spans="1:2" s="279" customFormat="1">
      <c r="A111" s="278"/>
      <c r="B111" s="278"/>
    </row>
    <row r="112" spans="1:2" s="279" customFormat="1">
      <c r="A112" s="278"/>
      <c r="B112" s="278"/>
    </row>
    <row r="113" spans="1:2" s="279" customFormat="1">
      <c r="A113" s="278"/>
      <c r="B113" s="278"/>
    </row>
    <row r="114" spans="1:2" s="279" customFormat="1">
      <c r="A114" s="278"/>
      <c r="B114" s="278"/>
    </row>
    <row r="115" spans="1:2" s="279" customFormat="1">
      <c r="A115" s="278"/>
      <c r="B115" s="278"/>
    </row>
    <row r="116" spans="1:2" s="279" customFormat="1">
      <c r="A116" s="278"/>
      <c r="B116" s="278"/>
    </row>
    <row r="117" spans="1:2" s="279" customFormat="1">
      <c r="A117" s="278"/>
      <c r="B117" s="278"/>
    </row>
    <row r="118" spans="1:2" s="279" customFormat="1">
      <c r="A118" s="278"/>
      <c r="B118" s="278"/>
    </row>
    <row r="119" spans="1:2" s="279" customFormat="1">
      <c r="A119" s="278"/>
      <c r="B119" s="278"/>
    </row>
    <row r="120" spans="1:2" s="279" customFormat="1">
      <c r="A120" s="278"/>
      <c r="B120" s="278"/>
    </row>
    <row r="121" spans="1:2" s="279" customFormat="1">
      <c r="A121" s="278"/>
      <c r="B121" s="278"/>
    </row>
    <row r="122" spans="1:2" s="279" customFormat="1">
      <c r="A122" s="278"/>
      <c r="B122" s="278"/>
    </row>
    <row r="123" spans="1:2" s="279" customFormat="1">
      <c r="A123" s="278"/>
      <c r="B123" s="278"/>
    </row>
    <row r="124" spans="1:2" s="279" customFormat="1">
      <c r="A124" s="278"/>
      <c r="B124" s="278"/>
    </row>
    <row r="125" spans="1:2" s="279" customFormat="1">
      <c r="A125" s="278"/>
      <c r="B125" s="278"/>
    </row>
    <row r="126" spans="1:2" s="279" customFormat="1">
      <c r="A126" s="278"/>
      <c r="B126" s="278"/>
    </row>
    <row r="127" spans="1:2" s="279" customFormat="1">
      <c r="A127" s="278"/>
      <c r="B127" s="278"/>
    </row>
    <row r="128" spans="1:2" s="279" customFormat="1">
      <c r="A128" s="278"/>
      <c r="B128" s="278"/>
    </row>
    <row r="129" spans="1:2" s="279" customFormat="1">
      <c r="A129" s="278"/>
      <c r="B129" s="278"/>
    </row>
    <row r="130" spans="1:2" s="279" customFormat="1">
      <c r="A130" s="278"/>
      <c r="B130" s="278"/>
    </row>
    <row r="131" spans="1:2">
      <c r="A131" s="278"/>
      <c r="B131" s="278"/>
    </row>
    <row r="132" spans="1:2">
      <c r="A132" s="278"/>
      <c r="B132" s="278"/>
    </row>
    <row r="133" spans="1:2">
      <c r="A133" s="278"/>
      <c r="B133" s="278"/>
    </row>
    <row r="134" spans="1:2">
      <c r="A134" s="278"/>
      <c r="B134" s="278"/>
    </row>
    <row r="135" spans="1:2">
      <c r="A135" s="278"/>
      <c r="B135" s="278"/>
    </row>
  </sheetData>
  <mergeCells count="7">
    <mergeCell ref="A2:B2"/>
    <mergeCell ref="C2:L43"/>
    <mergeCell ref="A12:B12"/>
    <mergeCell ref="A23:B23"/>
    <mergeCell ref="M25:T25"/>
    <mergeCell ref="M28:T28"/>
    <mergeCell ref="A33:B3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3"/>
  <sheetViews>
    <sheetView showGridLines="0" view="pageBreakPreview" topLeftCell="A67" zoomScaleNormal="100" zoomScaleSheetLayoutView="100" workbookViewId="0">
      <selection activeCell="H19" sqref="H19"/>
    </sheetView>
  </sheetViews>
  <sheetFormatPr defaultRowHeight="14.25" customHeight="1"/>
  <cols>
    <col min="1" max="1" width="1.7109375" style="18" customWidth="1"/>
    <col min="2" max="2" width="13.7109375" style="3" customWidth="1"/>
    <col min="3" max="3" width="59.42578125" style="3" customWidth="1"/>
    <col min="4" max="5" width="12.140625" style="3" customWidth="1"/>
    <col min="6" max="6" width="1.7109375" style="17" customWidth="1"/>
    <col min="7" max="7" width="1.7109375" style="18" customWidth="1"/>
    <col min="8" max="8" width="18.28515625" style="18" customWidth="1"/>
    <col min="9" max="9" width="15.5703125" style="18" customWidth="1"/>
    <col min="10" max="10" width="9.140625" style="18" hidden="1" customWidth="1"/>
    <col min="11" max="11" width="17.7109375" style="18" customWidth="1"/>
    <col min="12" max="12" width="11.5703125" style="18" bestFit="1" customWidth="1"/>
    <col min="13" max="13" width="11.42578125" style="18" bestFit="1" customWidth="1"/>
    <col min="14" max="15" width="9.140625" style="18"/>
    <col min="16" max="16" width="10.5703125" style="18" bestFit="1" customWidth="1"/>
    <col min="17" max="17" width="13.140625" style="18" customWidth="1"/>
    <col min="18" max="16384" width="9.140625" style="18"/>
  </cols>
  <sheetData>
    <row r="1" spans="2:19" ht="14.25" customHeight="1" thickBot="1"/>
    <row r="2" spans="2:19" s="3" customFormat="1" ht="22.5" customHeight="1" thickBot="1">
      <c r="B2" s="482" t="s">
        <v>84</v>
      </c>
      <c r="C2" s="483"/>
      <c r="D2" s="483"/>
      <c r="E2" s="484"/>
      <c r="G2" s="19"/>
      <c r="J2" s="19" t="s">
        <v>0</v>
      </c>
    </row>
    <row r="3" spans="2:19" ht="14.25" customHeight="1" thickBot="1">
      <c r="J3" s="19" t="s">
        <v>1</v>
      </c>
    </row>
    <row r="4" spans="2:19" ht="14.25" customHeight="1">
      <c r="B4" s="485" t="s">
        <v>63</v>
      </c>
      <c r="C4" s="486"/>
      <c r="D4" s="486"/>
      <c r="E4" s="487"/>
      <c r="J4" s="19"/>
    </row>
    <row r="5" spans="2:19" ht="14.25" customHeight="1">
      <c r="B5" s="488" t="s">
        <v>75</v>
      </c>
      <c r="C5" s="489"/>
      <c r="D5" s="490"/>
      <c r="E5" s="63"/>
      <c r="J5" s="19"/>
    </row>
    <row r="6" spans="2:19" ht="14.25" customHeight="1">
      <c r="B6" s="457" t="s">
        <v>76</v>
      </c>
      <c r="C6" s="458"/>
      <c r="D6" s="459"/>
      <c r="E6" s="9" t="s">
        <v>83</v>
      </c>
      <c r="J6" s="19"/>
    </row>
    <row r="7" spans="2:19" ht="14.25" customHeight="1">
      <c r="B7" s="457" t="s">
        <v>77</v>
      </c>
      <c r="C7" s="458"/>
      <c r="D7" s="459"/>
      <c r="E7" s="9">
        <v>2024</v>
      </c>
      <c r="J7" s="19"/>
    </row>
    <row r="8" spans="2:19" ht="14.25" customHeight="1" thickBot="1">
      <c r="B8" s="479" t="s">
        <v>78</v>
      </c>
      <c r="C8" s="480"/>
      <c r="D8" s="481"/>
      <c r="E8" s="7">
        <v>12</v>
      </c>
      <c r="J8" s="19"/>
    </row>
    <row r="9" spans="2:19" ht="14.25" customHeight="1" thickBot="1">
      <c r="J9" s="19"/>
    </row>
    <row r="10" spans="2:19" ht="14.25" customHeight="1" thickBot="1">
      <c r="B10" s="485" t="s">
        <v>65</v>
      </c>
      <c r="C10" s="486"/>
      <c r="D10" s="486"/>
      <c r="E10" s="487"/>
      <c r="J10" s="19"/>
    </row>
    <row r="11" spans="2:19" s="159" customFormat="1" ht="33" customHeight="1" thickBot="1">
      <c r="B11" s="491" t="s">
        <v>2</v>
      </c>
      <c r="C11" s="492"/>
      <c r="D11" s="162" t="s">
        <v>3</v>
      </c>
      <c r="E11" s="11" t="s">
        <v>4</v>
      </c>
      <c r="F11" s="12"/>
      <c r="H11" s="13" t="s">
        <v>64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2:19" ht="14.25" customHeight="1" thickBot="1">
      <c r="B12" s="493" t="s">
        <v>166</v>
      </c>
      <c r="C12" s="494"/>
      <c r="D12" s="14" t="s">
        <v>94</v>
      </c>
      <c r="E12" s="15">
        <v>1</v>
      </c>
      <c r="F12" s="21"/>
      <c r="H12" s="16" t="s"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2:19" ht="14.25" customHeight="1" thickBot="1">
      <c r="B13" s="22"/>
      <c r="C13" s="22"/>
      <c r="D13" s="22"/>
      <c r="E13" s="22"/>
      <c r="F13" s="2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2:19" ht="14.25" customHeight="1">
      <c r="B14" s="485" t="s">
        <v>70</v>
      </c>
      <c r="C14" s="486"/>
      <c r="D14" s="486"/>
      <c r="E14" s="487"/>
      <c r="F14" s="2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2:19" ht="14.25" customHeight="1">
      <c r="B15" s="5">
        <v>1</v>
      </c>
      <c r="C15" s="495" t="s">
        <v>66</v>
      </c>
      <c r="D15" s="496"/>
      <c r="E15" s="8"/>
      <c r="F15" s="2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2:19" ht="14.25" customHeight="1">
      <c r="B16" s="6">
        <v>2</v>
      </c>
      <c r="C16" s="497" t="s">
        <v>67</v>
      </c>
      <c r="D16" s="498"/>
      <c r="E16" s="80">
        <v>3266.67</v>
      </c>
      <c r="F16" s="2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14.25" customHeight="1">
      <c r="B17" s="6">
        <v>3</v>
      </c>
      <c r="C17" s="497" t="s">
        <v>68</v>
      </c>
      <c r="D17" s="498"/>
      <c r="E17" s="9" t="s">
        <v>112</v>
      </c>
      <c r="F17" s="2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4.25" customHeight="1" thickBot="1">
      <c r="B18" s="4">
        <v>4</v>
      </c>
      <c r="C18" s="499" t="s">
        <v>69</v>
      </c>
      <c r="D18" s="500"/>
      <c r="E18" s="64">
        <v>45292</v>
      </c>
      <c r="F18" s="2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 thickBot="1">
      <c r="B19" s="22"/>
      <c r="C19" s="22"/>
      <c r="D19" s="22"/>
      <c r="E19" s="22"/>
      <c r="F19" s="2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24"/>
      <c r="B20" s="476" t="s">
        <v>5</v>
      </c>
      <c r="C20" s="477"/>
      <c r="D20" s="477"/>
      <c r="E20" s="478"/>
      <c r="F20" s="25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4.25" customHeight="1">
      <c r="A21" s="24"/>
      <c r="B21" s="157" t="s">
        <v>6</v>
      </c>
      <c r="C21" s="158"/>
      <c r="D21" s="27"/>
      <c r="E21" s="111">
        <f>E16</f>
        <v>3266.67</v>
      </c>
      <c r="F21" s="29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4.25" customHeight="1">
      <c r="A22" s="24"/>
      <c r="B22" s="42" t="s">
        <v>111</v>
      </c>
      <c r="C22" s="43"/>
      <c r="D22" s="32">
        <v>0.3</v>
      </c>
      <c r="E22" s="112">
        <f>E21*D22</f>
        <v>980.00099999999998</v>
      </c>
      <c r="F22" s="29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4.25" customHeight="1" thickBot="1">
      <c r="A23" s="24"/>
      <c r="B23" s="460" t="s">
        <v>7</v>
      </c>
      <c r="C23" s="461"/>
      <c r="D23" s="462"/>
      <c r="E23" s="113">
        <f>E22+E21</f>
        <v>4246.6710000000003</v>
      </c>
      <c r="F23" s="3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4.25" customHeight="1" thickBot="1"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14.25" customHeight="1" thickBot="1">
      <c r="B25" s="454" t="s">
        <v>8</v>
      </c>
      <c r="C25" s="455"/>
      <c r="D25" s="455"/>
      <c r="E25" s="456"/>
      <c r="F25" s="25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4.25" customHeight="1">
      <c r="B26" s="471" t="s">
        <v>9</v>
      </c>
      <c r="C26" s="472"/>
      <c r="D26" s="472"/>
      <c r="E26" s="473"/>
      <c r="F26" s="2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4.25" customHeight="1">
      <c r="B27" s="157" t="s">
        <v>10</v>
      </c>
      <c r="C27" s="158"/>
      <c r="D27" s="32">
        <f>'ES Memória de Cálculo'!B5</f>
        <v>8.3299999999999999E-2</v>
      </c>
      <c r="E27" s="33">
        <f>IF($E$23="","",D27*$E$23)</f>
        <v>353.74769430000003</v>
      </c>
      <c r="F27" s="3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4.25" customHeight="1">
      <c r="B28" s="296" t="s">
        <v>276</v>
      </c>
      <c r="C28" s="297"/>
      <c r="D28" s="32">
        <f>'ES Memória de Cálculo'!B6</f>
        <v>8.9300000000000004E-2</v>
      </c>
      <c r="E28" s="33">
        <f>IF($E$23="","",D28*$E$23)</f>
        <v>379.22772030000004</v>
      </c>
      <c r="F28" s="3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14.25" customHeight="1">
      <c r="B29" s="157" t="s">
        <v>277</v>
      </c>
      <c r="C29" s="158"/>
      <c r="D29" s="32">
        <f>'ES Memória de Cálculo'!B7</f>
        <v>3.1699999999999999E-2</v>
      </c>
      <c r="E29" s="33">
        <f>IF($E$23="","",D29*$E$23)</f>
        <v>134.61947069999999</v>
      </c>
      <c r="F29" s="3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4.25" customHeight="1" thickBot="1">
      <c r="B30" s="469" t="s">
        <v>11</v>
      </c>
      <c r="C30" s="475"/>
      <c r="D30" s="470"/>
      <c r="E30" s="35">
        <f>IF(E23="","",SUM(E27:E29))</f>
        <v>867.59488529999999</v>
      </c>
      <c r="F30" s="3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4.25" customHeight="1">
      <c r="B31" s="471" t="s">
        <v>12</v>
      </c>
      <c r="C31" s="472"/>
      <c r="D31" s="472"/>
      <c r="E31" s="473"/>
      <c r="F31" s="2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4.25" customHeight="1">
      <c r="B32" s="157" t="s">
        <v>13</v>
      </c>
      <c r="C32" s="158"/>
      <c r="D32" s="32">
        <v>0.2</v>
      </c>
      <c r="E32" s="33">
        <f t="shared" ref="E32:E39" si="0">IF($E$23="","",($E$23+$E$30)*D32)</f>
        <v>1022.8531770600001</v>
      </c>
      <c r="F32" s="34"/>
      <c r="H32" s="1"/>
      <c r="I32" s="1"/>
      <c r="J32" s="1"/>
      <c r="K32" s="36"/>
      <c r="L32" s="1"/>
      <c r="M32" s="1"/>
      <c r="N32" s="1"/>
      <c r="O32" s="1"/>
      <c r="P32" s="1"/>
      <c r="Q32" s="1"/>
      <c r="R32" s="1"/>
      <c r="S32" s="1"/>
    </row>
    <row r="33" spans="2:19" ht="14.25" customHeight="1">
      <c r="B33" s="157" t="s">
        <v>14</v>
      </c>
      <c r="C33" s="158"/>
      <c r="D33" s="32">
        <v>1.4999999999999999E-2</v>
      </c>
      <c r="E33" s="33">
        <f t="shared" si="0"/>
        <v>76.713988279500001</v>
      </c>
      <c r="F33" s="3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2:19" ht="14.25" customHeight="1">
      <c r="B34" s="157" t="s">
        <v>15</v>
      </c>
      <c r="C34" s="158"/>
      <c r="D34" s="32">
        <v>0.01</v>
      </c>
      <c r="E34" s="33">
        <f t="shared" si="0"/>
        <v>51.142658853</v>
      </c>
      <c r="F34" s="3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2:19" ht="14.25" customHeight="1">
      <c r="B35" s="157" t="s">
        <v>16</v>
      </c>
      <c r="C35" s="158"/>
      <c r="D35" s="32">
        <v>2E-3</v>
      </c>
      <c r="E35" s="33">
        <f t="shared" si="0"/>
        <v>10.2285317706</v>
      </c>
      <c r="F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2:19" ht="14.25" customHeight="1">
      <c r="B36" s="157" t="s">
        <v>17</v>
      </c>
      <c r="C36" s="158"/>
      <c r="D36" s="32">
        <v>2.5000000000000001E-2</v>
      </c>
      <c r="E36" s="33">
        <f t="shared" si="0"/>
        <v>127.85664713250002</v>
      </c>
      <c r="F36" s="3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2:19" ht="14.25" customHeight="1">
      <c r="B37" s="157" t="s">
        <v>18</v>
      </c>
      <c r="C37" s="158"/>
      <c r="D37" s="32">
        <v>0.08</v>
      </c>
      <c r="E37" s="33">
        <f t="shared" si="0"/>
        <v>409.141270824</v>
      </c>
      <c r="F37" s="3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2:19" ht="14.25" customHeight="1">
      <c r="B38" s="157" t="s">
        <v>19</v>
      </c>
      <c r="C38" s="158"/>
      <c r="D38" s="37">
        <f>'ES Memória de Cálculo'!B15</f>
        <v>1.4999999999999999E-2</v>
      </c>
      <c r="E38" s="33">
        <f t="shared" si="0"/>
        <v>76.713988279500001</v>
      </c>
      <c r="F38" s="3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2:19" ht="14.25" customHeight="1">
      <c r="B39" s="157" t="s">
        <v>20</v>
      </c>
      <c r="C39" s="158"/>
      <c r="D39" s="32">
        <v>6.0000000000000001E-3</v>
      </c>
      <c r="E39" s="33">
        <f t="shared" si="0"/>
        <v>30.685595311800004</v>
      </c>
      <c r="F39" s="34"/>
      <c r="H39" s="450" t="s">
        <v>23</v>
      </c>
      <c r="I39" s="468">
        <v>21</v>
      </c>
      <c r="J39" s="1"/>
      <c r="K39" s="1"/>
      <c r="L39" s="115"/>
      <c r="M39" s="115"/>
      <c r="N39" s="1"/>
      <c r="O39" s="1"/>
      <c r="P39" s="1"/>
      <c r="Q39" s="1"/>
      <c r="R39" s="1"/>
      <c r="S39" s="1"/>
    </row>
    <row r="40" spans="2:19" ht="14.25" customHeight="1" thickBot="1">
      <c r="B40" s="469" t="s">
        <v>21</v>
      </c>
      <c r="C40" s="470"/>
      <c r="D40" s="38">
        <f>SUM(D32:D39)</f>
        <v>0.35300000000000009</v>
      </c>
      <c r="E40" s="35">
        <f>IF(E23="","",SUM(E32:E39))</f>
        <v>1805.3358575109003</v>
      </c>
      <c r="F40" s="31"/>
      <c r="H40" s="450"/>
      <c r="I40" s="468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2:19" ht="14.25" customHeight="1">
      <c r="B41" s="471" t="s">
        <v>22</v>
      </c>
      <c r="C41" s="472"/>
      <c r="D41" s="472"/>
      <c r="E41" s="473"/>
      <c r="F41" s="23"/>
      <c r="H41" s="450"/>
      <c r="I41" s="468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2:19" ht="14.25" customHeight="1">
      <c r="B42" s="457" t="s">
        <v>24</v>
      </c>
      <c r="C42" s="458"/>
      <c r="D42" s="459"/>
      <c r="E42" s="33">
        <f>IF(E21="","",(I39*I42))</f>
        <v>974.87459999999987</v>
      </c>
      <c r="F42" s="34"/>
      <c r="H42" s="56" t="s">
        <v>72</v>
      </c>
      <c r="I42" s="114">
        <f>47.37-(47.37*2%)</f>
        <v>46.422599999999996</v>
      </c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2:19" ht="14.25" customHeight="1">
      <c r="B43" s="457" t="s">
        <v>25</v>
      </c>
      <c r="C43" s="458"/>
      <c r="D43" s="459"/>
      <c r="E43" s="33">
        <f>((I39*I43)*2)-(E21*6%)</f>
        <v>34.999799999999993</v>
      </c>
      <c r="F43" s="34"/>
      <c r="H43" s="56" t="s">
        <v>26</v>
      </c>
      <c r="I43" s="161">
        <v>5.5</v>
      </c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2:19" ht="14.25" customHeight="1">
      <c r="B44" s="42" t="s">
        <v>188</v>
      </c>
      <c r="C44" s="43"/>
      <c r="D44" s="44"/>
      <c r="E44" s="155">
        <v>10</v>
      </c>
      <c r="F44" s="34"/>
      <c r="H44" s="56"/>
      <c r="I44" s="16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2:19" ht="14.25" customHeight="1">
      <c r="B45" s="42"/>
      <c r="C45" s="43"/>
      <c r="D45" s="44"/>
      <c r="E45" s="155"/>
      <c r="F45" s="34"/>
      <c r="H45" s="56"/>
      <c r="I45" s="16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2:19" ht="14.25" customHeight="1" thickBot="1">
      <c r="B46" s="469" t="s">
        <v>27</v>
      </c>
      <c r="C46" s="475"/>
      <c r="D46" s="470">
        <f>SUM(D42:D43)</f>
        <v>0</v>
      </c>
      <c r="E46" s="35">
        <f>IF(E23="","",SUM(E42:E45))</f>
        <v>1019.8743999999999</v>
      </c>
      <c r="F46" s="31"/>
      <c r="H46" s="56"/>
      <c r="I46" s="57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2:19" ht="14.25" customHeight="1" thickBot="1">
      <c r="B47" s="460" t="s">
        <v>28</v>
      </c>
      <c r="C47" s="461"/>
      <c r="D47" s="462"/>
      <c r="E47" s="30">
        <f>IF(E23="","",E30+E40+E46)</f>
        <v>3692.8051428109002</v>
      </c>
      <c r="F47" s="31"/>
      <c r="H47" s="56"/>
      <c r="I47" s="57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2:19" ht="14.25" customHeight="1" thickBot="1">
      <c r="H48" s="56"/>
      <c r="I48" s="57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2:19" ht="14.25" customHeight="1" thickBot="1">
      <c r="B49" s="454" t="s">
        <v>29</v>
      </c>
      <c r="C49" s="455"/>
      <c r="D49" s="455"/>
      <c r="E49" s="456"/>
      <c r="F49" s="25"/>
      <c r="H49" s="56"/>
      <c r="I49" s="57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2:19" ht="14.25" customHeight="1">
      <c r="B50" s="157" t="s">
        <v>30</v>
      </c>
      <c r="C50" s="157"/>
      <c r="D50" s="32">
        <f>'ES Memória de Cálculo'!B25</f>
        <v>8.3333333333333328E-4</v>
      </c>
      <c r="E50" s="33">
        <f t="shared" ref="E50:E55" si="1">IF($E$23="","",D50*$E$23)</f>
        <v>3.5388925000000002</v>
      </c>
      <c r="F50" s="34"/>
      <c r="H50" s="450" t="s">
        <v>71</v>
      </c>
      <c r="I50" s="451">
        <v>5.5500000000000001E-2</v>
      </c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2:19" ht="14.25" customHeight="1">
      <c r="B51" s="157" t="s">
        <v>31</v>
      </c>
      <c r="C51" s="157"/>
      <c r="D51" s="32">
        <f>D37*D50</f>
        <v>6.666666666666667E-5</v>
      </c>
      <c r="E51" s="33">
        <f t="shared" si="1"/>
        <v>0.28311140000000001</v>
      </c>
      <c r="F51" s="34"/>
      <c r="H51" s="450"/>
      <c r="I51" s="45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2:19" ht="14.25" customHeight="1">
      <c r="B52" s="157" t="s">
        <v>182</v>
      </c>
      <c r="C52" s="157"/>
      <c r="D52" s="178">
        <f>'ES Memória de Cálculo'!B27</f>
        <v>3.4000000000000002E-2</v>
      </c>
      <c r="E52" s="33">
        <f t="shared" si="1"/>
        <v>144.38681400000002</v>
      </c>
      <c r="F52" s="34"/>
      <c r="H52" s="450" t="s">
        <v>74</v>
      </c>
      <c r="I52" s="468">
        <v>0.9</v>
      </c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2:19" ht="14.25" customHeight="1">
      <c r="B53" s="157" t="s">
        <v>33</v>
      </c>
      <c r="C53" s="157"/>
      <c r="D53" s="32">
        <f>'ES Memória de Cálculo'!B28</f>
        <v>1.9444444444444446E-4</v>
      </c>
      <c r="E53" s="33">
        <f t="shared" si="1"/>
        <v>0.82574158333333347</v>
      </c>
      <c r="F53" s="34"/>
      <c r="H53" s="450"/>
      <c r="I53" s="468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2:19" ht="14.25" customHeight="1">
      <c r="B54" s="157" t="s">
        <v>34</v>
      </c>
      <c r="C54" s="158"/>
      <c r="D54" s="32">
        <f>D53*D40</f>
        <v>6.8638888888888916E-5</v>
      </c>
      <c r="E54" s="33">
        <f t="shared" si="1"/>
        <v>0.2914867789166668</v>
      </c>
      <c r="F54" s="34"/>
      <c r="H54" s="450"/>
      <c r="I54" s="468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2:19" ht="14.25" customHeight="1">
      <c r="B55" s="157" t="s">
        <v>186</v>
      </c>
      <c r="C55" s="157"/>
      <c r="D55" s="178">
        <f>'ES Memória de Cálculo'!B30</f>
        <v>6.0000000000000001E-3</v>
      </c>
      <c r="E55" s="33">
        <f t="shared" si="1"/>
        <v>25.480026000000002</v>
      </c>
      <c r="F55" s="34"/>
      <c r="H55" s="56"/>
      <c r="I55" s="56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2:19" ht="14.25" customHeight="1" thickBot="1">
      <c r="B56" s="287" t="s">
        <v>35</v>
      </c>
      <c r="C56" s="288"/>
      <c r="D56" s="289">
        <f>SUM(D50:D55)</f>
        <v>4.1163083333333329E-2</v>
      </c>
      <c r="E56" s="30">
        <f>IF(E23="","",SUM(E50:E55))</f>
        <v>174.80607226225001</v>
      </c>
      <c r="F56" s="31"/>
      <c r="H56" s="56"/>
      <c r="I56" s="56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2:19" ht="14.25" customHeight="1" thickBot="1">
      <c r="H57" s="56"/>
      <c r="I57" s="56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2:19" ht="14.25" customHeight="1" thickBot="1">
      <c r="B58" s="454" t="s">
        <v>36</v>
      </c>
      <c r="C58" s="455"/>
      <c r="D58" s="455"/>
      <c r="E58" s="456"/>
      <c r="F58" s="25"/>
      <c r="H58" s="56"/>
      <c r="I58" s="56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2:19" ht="14.25" customHeight="1">
      <c r="B59" s="157" t="s">
        <v>37</v>
      </c>
      <c r="C59" s="158"/>
      <c r="D59" s="178">
        <f>'ES Memória de Cálculo'!B35</f>
        <v>0</v>
      </c>
      <c r="E59" s="33">
        <f>IF($E$23="","",D59*$E$23)</f>
        <v>0</v>
      </c>
      <c r="F59" s="34"/>
      <c r="H59" s="56"/>
      <c r="I59" s="56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2:19" ht="14.25" customHeight="1">
      <c r="B60" s="157" t="s">
        <v>38</v>
      </c>
      <c r="C60" s="158"/>
      <c r="D60" s="32">
        <f>'ES Memória de Cálculo'!B36</f>
        <v>1.6444444444444446E-4</v>
      </c>
      <c r="E60" s="33">
        <f>IF($E$23="","",D60*$E$23)</f>
        <v>0.69834145333333342</v>
      </c>
      <c r="F60" s="34"/>
      <c r="H60" s="56" t="s">
        <v>39</v>
      </c>
      <c r="I60" s="161">
        <v>5.96</v>
      </c>
      <c r="J60" s="1"/>
      <c r="K60" s="1"/>
      <c r="L60" s="474"/>
      <c r="M60" s="474"/>
      <c r="N60" s="1"/>
      <c r="O60" s="1"/>
      <c r="P60" s="1"/>
      <c r="Q60" s="1"/>
      <c r="R60" s="1"/>
      <c r="S60" s="1"/>
    </row>
    <row r="61" spans="2:19" ht="14.25" customHeight="1">
      <c r="B61" s="157" t="s">
        <v>40</v>
      </c>
      <c r="C61" s="158"/>
      <c r="D61" s="32">
        <f>'ES Memória de Cálculo'!B37</f>
        <v>2.0833333333333332E-4</v>
      </c>
      <c r="E61" s="33">
        <f>IF($E$23="","",D61*$E$23)</f>
        <v>0.88472312500000005</v>
      </c>
      <c r="F61" s="34"/>
      <c r="H61" s="56" t="s">
        <v>41</v>
      </c>
      <c r="I61" s="160">
        <v>1.4999999999999999E-2</v>
      </c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2:19" ht="14.25" customHeight="1">
      <c r="B62" s="157" t="s">
        <v>42</v>
      </c>
      <c r="C62" s="158"/>
      <c r="D62" s="32">
        <f>'ES Memória de Cálculo'!B38</f>
        <v>2.0833333333333332E-4</v>
      </c>
      <c r="E62" s="33">
        <f>IF($E$23="","",D62*$E$23)</f>
        <v>0.88472312500000005</v>
      </c>
      <c r="F62" s="34"/>
      <c r="H62" s="56" t="s">
        <v>73</v>
      </c>
      <c r="I62" s="160">
        <v>0.08</v>
      </c>
      <c r="J62" s="1"/>
      <c r="K62" s="72"/>
      <c r="L62" s="474"/>
      <c r="M62" s="474"/>
      <c r="N62" s="1"/>
      <c r="O62" s="1"/>
      <c r="P62" s="1"/>
      <c r="Q62" s="1"/>
      <c r="R62" s="1"/>
      <c r="S62" s="1"/>
    </row>
    <row r="63" spans="2:19" ht="14.25" customHeight="1">
      <c r="B63" s="157" t="s">
        <v>43</v>
      </c>
      <c r="C63" s="158"/>
      <c r="D63" s="32">
        <f>'ES Memória de Cálculo'!B39</f>
        <v>1.6180555555555555E-4</v>
      </c>
      <c r="E63" s="33">
        <f>IF($E$23="","",D63*$E$23)</f>
        <v>0.68713496041666666</v>
      </c>
      <c r="F63" s="34"/>
      <c r="H63" s="450" t="s">
        <v>44</v>
      </c>
      <c r="I63" s="451">
        <v>0.02</v>
      </c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2:19" ht="14.25" customHeight="1">
      <c r="B64" s="157" t="s">
        <v>45</v>
      </c>
      <c r="C64" s="158"/>
      <c r="D64" s="32"/>
      <c r="E64" s="33" t="s">
        <v>46</v>
      </c>
      <c r="F64" s="34"/>
      <c r="H64" s="450"/>
      <c r="I64" s="451"/>
      <c r="J64" s="1"/>
      <c r="K64" s="72"/>
      <c r="L64" s="1"/>
      <c r="M64" s="1"/>
      <c r="N64" s="1"/>
      <c r="O64" s="1"/>
      <c r="P64" s="1"/>
      <c r="Q64" s="1"/>
      <c r="R64" s="1"/>
      <c r="S64" s="1"/>
    </row>
    <row r="65" spans="2:19" ht="14.25" customHeight="1" thickBot="1">
      <c r="B65" s="290" t="s">
        <v>47</v>
      </c>
      <c r="C65" s="291"/>
      <c r="D65" s="38">
        <f>SUM(D59:D64)</f>
        <v>7.4291666666666657E-4</v>
      </c>
      <c r="E65" s="35">
        <f>IF(E23="","",SUM(E59:E64))</f>
        <v>3.1549226637499999</v>
      </c>
      <c r="F65" s="31"/>
      <c r="H65" s="450"/>
      <c r="I65" s="45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2:19" ht="14.25" customHeight="1" thickBot="1">
      <c r="B66" s="292" t="s">
        <v>48</v>
      </c>
      <c r="C66" s="293"/>
      <c r="D66" s="294">
        <f>D65*D40</f>
        <v>2.6224958333333339E-4</v>
      </c>
      <c r="E66" s="39">
        <f>IF(E23="","",E65*D40)</f>
        <v>1.1136877003037502</v>
      </c>
      <c r="F66" s="31"/>
      <c r="H66" s="295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2:19" ht="14.25" customHeight="1" thickBot="1">
      <c r="B67" s="465" t="s">
        <v>49</v>
      </c>
      <c r="C67" s="466"/>
      <c r="D67" s="467"/>
      <c r="E67" s="40">
        <f>IF(E23="","",E65+E66)</f>
        <v>4.2686103640537496</v>
      </c>
      <c r="F67" s="31"/>
      <c r="H67" s="4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2:19" ht="14.25" customHeight="1" thickBot="1">
      <c r="H68" s="4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2:19" ht="14.25" customHeight="1" thickBot="1">
      <c r="B69" s="454" t="s">
        <v>50</v>
      </c>
      <c r="C69" s="455"/>
      <c r="D69" s="455"/>
      <c r="E69" s="456"/>
      <c r="F69" s="25"/>
      <c r="H69" s="36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2:19" ht="14.25" customHeight="1">
      <c r="B70" s="457" t="s">
        <v>89</v>
      </c>
      <c r="C70" s="458"/>
      <c r="D70" s="459"/>
      <c r="E70" s="96">
        <f>Uniformes!H36</f>
        <v>44.373799999999996</v>
      </c>
      <c r="F70" s="29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2:19" ht="14.25" customHeight="1">
      <c r="B71" s="42" t="s">
        <v>51</v>
      </c>
      <c r="C71" s="43"/>
      <c r="D71" s="44"/>
      <c r="E71" s="179">
        <f>Equipamentos!H19</f>
        <v>3.28217625</v>
      </c>
      <c r="F71" s="29"/>
      <c r="H71" s="1"/>
      <c r="I71" s="1"/>
      <c r="J71" s="1"/>
      <c r="O71" s="1"/>
      <c r="P71" s="1"/>
      <c r="Q71" s="1"/>
      <c r="R71" s="1"/>
      <c r="S71" s="1"/>
    </row>
    <row r="72" spans="2:19" ht="14.25" customHeight="1" thickBot="1">
      <c r="B72" s="460" t="s">
        <v>52</v>
      </c>
      <c r="C72" s="461"/>
      <c r="D72" s="462"/>
      <c r="E72" s="30">
        <f>IF(E23="","",SUM(E70:E71))</f>
        <v>47.655976249999995</v>
      </c>
      <c r="F72" s="31"/>
      <c r="H72" s="1"/>
      <c r="I72" s="1"/>
      <c r="J72" s="1"/>
      <c r="O72" s="1"/>
      <c r="P72" s="1"/>
      <c r="Q72" s="1"/>
      <c r="R72" s="1"/>
      <c r="S72" s="1"/>
    </row>
    <row r="73" spans="2:19" ht="14.25" customHeight="1" thickBot="1">
      <c r="H73" s="1"/>
      <c r="I73" s="1"/>
      <c r="J73" s="1"/>
      <c r="O73" s="66"/>
      <c r="P73" s="1"/>
      <c r="Q73" s="1"/>
      <c r="R73" s="1"/>
      <c r="S73" s="1"/>
    </row>
    <row r="74" spans="2:19" ht="14.25" customHeight="1" thickBot="1">
      <c r="B74" s="454" t="s">
        <v>53</v>
      </c>
      <c r="C74" s="455"/>
      <c r="D74" s="455"/>
      <c r="E74" s="456"/>
      <c r="F74" s="25"/>
      <c r="H74" s="1"/>
      <c r="I74" s="1"/>
      <c r="J74" s="1"/>
      <c r="O74" s="66"/>
      <c r="P74" s="1"/>
      <c r="Q74" s="1"/>
      <c r="R74" s="1"/>
      <c r="S74" s="1"/>
    </row>
    <row r="75" spans="2:19" ht="14.25" customHeight="1" thickBot="1">
      <c r="B75" s="45" t="s">
        <v>54</v>
      </c>
      <c r="C75" s="46"/>
      <c r="D75" s="177">
        <v>3.09485E-2</v>
      </c>
      <c r="E75" s="47">
        <f>IF($E$23="","",($E$23+$E$47+$E$56+$E$67+$E$72)*$D$75)</f>
        <v>252.73185120201646</v>
      </c>
      <c r="F75" s="34"/>
      <c r="H75" s="1"/>
      <c r="I75" s="1"/>
      <c r="J75" s="1"/>
      <c r="O75" s="66"/>
      <c r="P75" s="1"/>
      <c r="Q75" s="1"/>
      <c r="R75" s="36"/>
      <c r="S75" s="1"/>
    </row>
    <row r="76" spans="2:19" ht="14.25" customHeight="1" thickBot="1">
      <c r="B76" s="48" t="s">
        <v>55</v>
      </c>
      <c r="C76" s="49"/>
      <c r="D76" s="156">
        <v>0.03</v>
      </c>
      <c r="E76" s="47">
        <f>IF($E$23="","",($D$76*($E$23+$E$47+$E$56+$E$67+$E$72+$E$75+$E$79)/(1-SUM($D$76:$D$78))))</f>
        <v>279.24886828959325</v>
      </c>
      <c r="F76" s="34"/>
      <c r="H76" s="1"/>
      <c r="I76" s="1"/>
      <c r="J76" s="1"/>
      <c r="O76" s="66"/>
      <c r="P76" s="1"/>
      <c r="Q76" s="1"/>
      <c r="R76" s="1"/>
      <c r="S76" s="1"/>
    </row>
    <row r="77" spans="2:19" ht="14.25" customHeight="1" thickBot="1">
      <c r="B77" s="157" t="s">
        <v>56</v>
      </c>
      <c r="C77" s="158"/>
      <c r="D77" s="156">
        <v>6.4999999999999997E-3</v>
      </c>
      <c r="E77" s="47">
        <f>IF($E$23="","",($D$77*($E$23+$E$47+$E$56+$E$67+$E$72+$E$75+$E$79)/(1-SUM($D$76:$D$78))))</f>
        <v>60.503921462745197</v>
      </c>
      <c r="F77" s="34"/>
      <c r="H77" s="1"/>
      <c r="I77" s="1"/>
      <c r="J77" s="1"/>
      <c r="O77" s="66"/>
      <c r="P77" s="1"/>
      <c r="Q77" s="1"/>
      <c r="R77" s="36"/>
      <c r="S77" s="1"/>
    </row>
    <row r="78" spans="2:19" ht="14.25" customHeight="1" thickBot="1">
      <c r="B78" s="157" t="s">
        <v>57</v>
      </c>
      <c r="C78" s="158"/>
      <c r="D78" s="177">
        <v>0.05</v>
      </c>
      <c r="E78" s="47">
        <f>IF($E$23="","",($D$78*($E$23+$E$47+$E$56+$E$67+$E$72+$E$75+$E$79)/(1-SUM($D$76:$D$78))))</f>
        <v>465.41478048265543</v>
      </c>
      <c r="F78" s="34"/>
      <c r="H78" s="1"/>
      <c r="I78" s="1"/>
      <c r="J78" s="1"/>
      <c r="O78" s="66"/>
      <c r="P78" s="1"/>
      <c r="Q78" s="1"/>
      <c r="R78" s="36"/>
      <c r="S78" s="1"/>
    </row>
    <row r="79" spans="2:19" ht="14.25" customHeight="1" thickBot="1">
      <c r="B79" s="157" t="s">
        <v>58</v>
      </c>
      <c r="C79" s="158"/>
      <c r="D79" s="177">
        <v>0.01</v>
      </c>
      <c r="E79" s="47">
        <f>IF($E$23="","",($E$23+$E$47+$E$56+$E$67+$E$72+$E$75)*$D$79)</f>
        <v>84.189386528892214</v>
      </c>
      <c r="F79" s="34"/>
      <c r="H79" s="1"/>
      <c r="I79" s="1"/>
      <c r="J79" s="1"/>
      <c r="O79" s="66"/>
      <c r="P79" s="1"/>
      <c r="Q79" s="1"/>
      <c r="R79" s="36"/>
      <c r="S79" s="1"/>
    </row>
    <row r="80" spans="2:19" ht="14.25" customHeight="1" thickBot="1">
      <c r="B80" s="460" t="s">
        <v>59</v>
      </c>
      <c r="C80" s="461"/>
      <c r="D80" s="462"/>
      <c r="E80" s="50">
        <f>IF(E23="","",SUM($E$75:$E$79))</f>
        <v>1142.0888079659026</v>
      </c>
      <c r="F80" s="31"/>
      <c r="H80" s="286"/>
      <c r="I80" s="1"/>
      <c r="J80" s="1"/>
      <c r="O80" s="66"/>
      <c r="P80" s="1"/>
      <c r="Q80" s="1"/>
      <c r="R80" s="36"/>
      <c r="S80" s="1"/>
    </row>
    <row r="81" spans="2:19" ht="14.25" customHeight="1" thickBot="1">
      <c r="H81" s="1"/>
      <c r="I81" s="1"/>
      <c r="O81" s="66"/>
      <c r="P81" s="1"/>
      <c r="Q81" s="1"/>
      <c r="R81" s="1"/>
      <c r="S81" s="1"/>
    </row>
    <row r="82" spans="2:19" ht="14.25" customHeight="1" thickBot="1">
      <c r="B82" s="463" t="s">
        <v>60</v>
      </c>
      <c r="C82" s="464"/>
      <c r="D82" s="464"/>
      <c r="E82" s="51">
        <f>E23+E47+E56+E67+E72+E80</f>
        <v>9308.295609653107</v>
      </c>
      <c r="F82" s="31"/>
      <c r="H82" s="306"/>
      <c r="I82" s="306"/>
      <c r="J82" s="1"/>
      <c r="O82" s="66"/>
      <c r="P82" s="1"/>
      <c r="Q82" s="1"/>
      <c r="R82" s="1"/>
      <c r="S82" s="1"/>
    </row>
    <row r="83" spans="2:19" ht="14.25" customHeight="1" thickBot="1">
      <c r="H83" s="1"/>
      <c r="I83" s="1"/>
      <c r="L83" s="74"/>
      <c r="O83" s="67"/>
    </row>
    <row r="84" spans="2:19" ht="14.25" customHeight="1" thickBot="1">
      <c r="B84" s="452" t="s">
        <v>61</v>
      </c>
      <c r="C84" s="453"/>
      <c r="D84" s="453"/>
      <c r="E84" s="52">
        <f>E82*E12</f>
        <v>9308.295609653107</v>
      </c>
      <c r="F84" s="31"/>
      <c r="K84" s="75"/>
      <c r="O84" s="67"/>
    </row>
    <row r="85" spans="2:19" ht="14.25" customHeight="1">
      <c r="B85" s="159"/>
      <c r="C85" s="159"/>
      <c r="D85" s="53"/>
      <c r="E85" s="54"/>
      <c r="F85" s="55"/>
      <c r="G85" s="54"/>
      <c r="H85" s="54"/>
      <c r="K85" s="76"/>
      <c r="O85" s="67"/>
    </row>
    <row r="86" spans="2:19" ht="14.25" customHeight="1">
      <c r="B86" s="3" t="s">
        <v>62</v>
      </c>
      <c r="D86" s="180">
        <f>IF(E23="","-",E82/E23)</f>
        <v>2.1919041078654566</v>
      </c>
      <c r="E86" s="3" t="str">
        <f>IF(E23="","a ser calculado",IF(D86&lt;=2.7,"OK","Superior a 2,7 --- Reavaliar planilha"))</f>
        <v>OK</v>
      </c>
      <c r="K86" s="73"/>
      <c r="O86" s="67"/>
    </row>
    <row r="87" spans="2:19" ht="14.25" customHeight="1">
      <c r="B87" s="436" t="s">
        <v>181</v>
      </c>
      <c r="C87" s="436"/>
      <c r="D87" s="436"/>
      <c r="E87" s="436"/>
      <c r="O87" s="67"/>
    </row>
    <row r="88" spans="2:19" ht="14.25" customHeight="1">
      <c r="O88" s="67"/>
    </row>
    <row r="89" spans="2:19" ht="14.25" customHeight="1">
      <c r="O89" s="67"/>
    </row>
    <row r="90" spans="2:19" ht="14.25" customHeight="1">
      <c r="O90" s="67"/>
      <c r="P90" s="65"/>
    </row>
    <row r="91" spans="2:19" ht="14.25" customHeight="1">
      <c r="P91" s="65"/>
    </row>
    <row r="93" spans="2:19" ht="14.25" customHeight="1">
      <c r="L93" s="65"/>
    </row>
  </sheetData>
  <sheetProtection formatColumns="0" formatRows="0"/>
  <mergeCells count="47">
    <mergeCell ref="B87:E87"/>
    <mergeCell ref="B8:D8"/>
    <mergeCell ref="B2:E2"/>
    <mergeCell ref="B4:E4"/>
    <mergeCell ref="B5:D5"/>
    <mergeCell ref="B6:D6"/>
    <mergeCell ref="B7:D7"/>
    <mergeCell ref="B26:E26"/>
    <mergeCell ref="B10:E10"/>
    <mergeCell ref="B11:C11"/>
    <mergeCell ref="B12:C12"/>
    <mergeCell ref="B14:E14"/>
    <mergeCell ref="C15:D15"/>
    <mergeCell ref="C16:D16"/>
    <mergeCell ref="C17:D17"/>
    <mergeCell ref="C18:D18"/>
    <mergeCell ref="B20:E20"/>
    <mergeCell ref="B23:D23"/>
    <mergeCell ref="B25:E25"/>
    <mergeCell ref="B30:D30"/>
    <mergeCell ref="B31:E31"/>
    <mergeCell ref="H39:H41"/>
    <mergeCell ref="I39:I41"/>
    <mergeCell ref="B40:C40"/>
    <mergeCell ref="B41:E41"/>
    <mergeCell ref="L62:M62"/>
    <mergeCell ref="L60:M60"/>
    <mergeCell ref="B42:D42"/>
    <mergeCell ref="B43:D43"/>
    <mergeCell ref="B46:D46"/>
    <mergeCell ref="B47:D47"/>
    <mergeCell ref="B49:E49"/>
    <mergeCell ref="H50:H51"/>
    <mergeCell ref="I50:I51"/>
    <mergeCell ref="H52:H54"/>
    <mergeCell ref="I52:I54"/>
    <mergeCell ref="B58:E58"/>
    <mergeCell ref="H63:H65"/>
    <mergeCell ref="I63:I65"/>
    <mergeCell ref="B84:D84"/>
    <mergeCell ref="B69:E69"/>
    <mergeCell ref="B70:D70"/>
    <mergeCell ref="B72:D72"/>
    <mergeCell ref="B74:E74"/>
    <mergeCell ref="B80:D80"/>
    <mergeCell ref="B82:D82"/>
    <mergeCell ref="B67:D67"/>
  </mergeCells>
  <dataValidations count="7">
    <dataValidation type="list" allowBlank="1" showInputMessage="1" showErrorMessage="1" sqref="H12">
      <formula1>$J$2:$J$3</formula1>
    </dataValidation>
    <dataValidation type="decimal" operator="lessThanOrEqual" allowBlank="1" showInputMessage="1" showErrorMessage="1" errorTitle="Valor inválido" error="Deve ser igual ou inferior a 5,96 (Ref.: IBGE)" sqref="I60">
      <formula1>5.96</formula1>
    </dataValidation>
    <dataValidation type="decimal" operator="lessThanOrEqual" allowBlank="1" showInputMessage="1" showErrorMessage="1" errorTitle="Valor inválido" error="Deve ser igual ou inferior a 5,55 (Ref.: TCU)" sqref="I50">
      <formula1>0.0555</formula1>
    </dataValidation>
    <dataValidation type="decimal" operator="lessThanOrEqual" allowBlank="1" showInputMessage="1" showErrorMessage="1" errorTitle="Valor inválido" error="Deve ser igual ou inferior a 1,50% (Ref.: IBGE)" sqref="I61">
      <formula1>0.015</formula1>
    </dataValidation>
    <dataValidation type="decimal" operator="lessThanOrEqual" allowBlank="1" showInputMessage="1" showErrorMessage="1" errorTitle="Valor inválido" error="Deve ser igual ou inferior a 8,00% (Ref.: IBGE)" sqref="I62">
      <formula1>0.08</formula1>
    </dataValidation>
    <dataValidation type="decimal" operator="lessThanOrEqual" allowBlank="1" showInputMessage="1" showErrorMessage="1" errorTitle="Valor inválido" error="Deve ser igual ou inferior a 2,00% (Ref.: IBGE)" sqref="I63">
      <formula1>0.02</formula1>
    </dataValidation>
    <dataValidation type="decimal" operator="lessThanOrEqual" allowBlank="1" showInputMessage="1" showErrorMessage="1" errorTitle="Valor inválido" error="Máximo aceito = 6%" sqref="D38">
      <formula1>0.06</formula1>
    </dataValidation>
  </dataValidations>
  <pageMargins left="0.25" right="0.25" top="0.75" bottom="0.75" header="0.3" footer="0.3"/>
  <pageSetup paperSize="9" scale="60" orientation="portrait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3"/>
  <sheetViews>
    <sheetView showGridLines="0" view="pageBreakPreview" zoomScale="90" zoomScaleNormal="100" zoomScaleSheetLayoutView="90" workbookViewId="0">
      <selection activeCell="E19" sqref="E19"/>
    </sheetView>
  </sheetViews>
  <sheetFormatPr defaultRowHeight="14.25" customHeight="1"/>
  <cols>
    <col min="1" max="1" width="1.7109375" style="18" customWidth="1"/>
    <col min="2" max="2" width="13.7109375" style="3" customWidth="1"/>
    <col min="3" max="3" width="59.42578125" style="3" customWidth="1"/>
    <col min="4" max="5" width="12.140625" style="3" customWidth="1"/>
    <col min="6" max="6" width="1.7109375" style="17" customWidth="1"/>
    <col min="7" max="7" width="1.7109375" style="18" customWidth="1"/>
    <col min="8" max="8" width="18.28515625" style="18" customWidth="1"/>
    <col min="9" max="9" width="14.28515625" style="18" customWidth="1"/>
    <col min="10" max="10" width="9.140625" style="18" hidden="1" customWidth="1"/>
    <col min="11" max="11" width="17.7109375" style="18" customWidth="1"/>
    <col min="12" max="12" width="11.5703125" style="18" bestFit="1" customWidth="1"/>
    <col min="13" max="13" width="11.42578125" style="18" bestFit="1" customWidth="1"/>
    <col min="14" max="15" width="9.140625" style="18"/>
    <col min="16" max="16" width="10.5703125" style="18" bestFit="1" customWidth="1"/>
    <col min="17" max="17" width="13.140625" style="18" customWidth="1"/>
    <col min="18" max="16384" width="9.140625" style="18"/>
  </cols>
  <sheetData>
    <row r="1" spans="2:19" ht="14.25" customHeight="1" thickBot="1"/>
    <row r="2" spans="2:19" s="3" customFormat="1" ht="22.5" customHeight="1" thickBot="1">
      <c r="B2" s="482" t="s">
        <v>84</v>
      </c>
      <c r="C2" s="483"/>
      <c r="D2" s="483"/>
      <c r="E2" s="484"/>
      <c r="G2" s="19"/>
      <c r="J2" s="19" t="s">
        <v>0</v>
      </c>
    </row>
    <row r="3" spans="2:19" ht="14.25" customHeight="1" thickBot="1">
      <c r="J3" s="19" t="s">
        <v>1</v>
      </c>
    </row>
    <row r="4" spans="2:19" ht="14.25" customHeight="1">
      <c r="B4" s="485" t="s">
        <v>63</v>
      </c>
      <c r="C4" s="486"/>
      <c r="D4" s="486"/>
      <c r="E4" s="487"/>
      <c r="J4" s="19"/>
    </row>
    <row r="5" spans="2:19" ht="14.25" customHeight="1">
      <c r="B5" s="488" t="s">
        <v>75</v>
      </c>
      <c r="C5" s="489"/>
      <c r="D5" s="490"/>
      <c r="E5" s="63"/>
      <c r="J5" s="19"/>
    </row>
    <row r="6" spans="2:19" ht="14.25" customHeight="1">
      <c r="B6" s="457" t="s">
        <v>76</v>
      </c>
      <c r="C6" s="458"/>
      <c r="D6" s="459"/>
      <c r="E6" s="9" t="s">
        <v>83</v>
      </c>
      <c r="J6" s="19"/>
    </row>
    <row r="7" spans="2:19" ht="14.25" customHeight="1">
      <c r="B7" s="457" t="s">
        <v>77</v>
      </c>
      <c r="C7" s="458"/>
      <c r="D7" s="459"/>
      <c r="E7" s="9">
        <v>2024</v>
      </c>
      <c r="J7" s="19"/>
    </row>
    <row r="8" spans="2:19" ht="14.25" customHeight="1" thickBot="1">
      <c r="B8" s="479" t="s">
        <v>78</v>
      </c>
      <c r="C8" s="480"/>
      <c r="D8" s="481"/>
      <c r="E8" s="7">
        <v>12</v>
      </c>
      <c r="J8" s="19"/>
    </row>
    <row r="9" spans="2:19" ht="14.25" customHeight="1" thickBot="1">
      <c r="J9" s="19"/>
    </row>
    <row r="10" spans="2:19" ht="14.25" customHeight="1" thickBot="1">
      <c r="B10" s="485" t="s">
        <v>65</v>
      </c>
      <c r="C10" s="486"/>
      <c r="D10" s="486"/>
      <c r="E10" s="487"/>
      <c r="J10" s="19"/>
    </row>
    <row r="11" spans="2:19" s="102" customFormat="1" ht="33" customHeight="1" thickBot="1">
      <c r="B11" s="491" t="s">
        <v>2</v>
      </c>
      <c r="C11" s="492"/>
      <c r="D11" s="100" t="s">
        <v>3</v>
      </c>
      <c r="E11" s="11" t="s">
        <v>4</v>
      </c>
      <c r="F11" s="12"/>
      <c r="H11" s="13" t="s">
        <v>64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2:19" ht="14.25" customHeight="1" thickBot="1">
      <c r="B12" s="493" t="s">
        <v>110</v>
      </c>
      <c r="C12" s="494"/>
      <c r="D12" s="14" t="s">
        <v>94</v>
      </c>
      <c r="E12" s="15">
        <v>15</v>
      </c>
      <c r="F12" s="21"/>
      <c r="H12" s="16" t="s"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2:19" ht="14.25" customHeight="1" thickBot="1">
      <c r="B13" s="22"/>
      <c r="C13" s="22"/>
      <c r="D13" s="22"/>
      <c r="E13" s="22"/>
      <c r="F13" s="2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2:19" ht="14.25" customHeight="1">
      <c r="B14" s="485" t="s">
        <v>70</v>
      </c>
      <c r="C14" s="486"/>
      <c r="D14" s="486"/>
      <c r="E14" s="487"/>
      <c r="F14" s="2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2:19" ht="14.25" customHeight="1">
      <c r="B15" s="5">
        <v>1</v>
      </c>
      <c r="C15" s="495" t="s">
        <v>66</v>
      </c>
      <c r="D15" s="496"/>
      <c r="E15" s="8"/>
      <c r="F15" s="2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2:19" ht="14.25" customHeight="1">
      <c r="B16" s="6">
        <v>2</v>
      </c>
      <c r="C16" s="497" t="s">
        <v>67</v>
      </c>
      <c r="D16" s="498"/>
      <c r="E16" s="80">
        <v>2723.41</v>
      </c>
      <c r="F16" s="23"/>
      <c r="H16" s="80">
        <f>2593.73*1.05</f>
        <v>2723.4165000000003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14.25" customHeight="1">
      <c r="B17" s="6">
        <v>3</v>
      </c>
      <c r="C17" s="497" t="s">
        <v>68</v>
      </c>
      <c r="D17" s="498"/>
      <c r="E17" s="9" t="s">
        <v>112</v>
      </c>
      <c r="F17" s="2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4.25" customHeight="1" thickBot="1">
      <c r="B18" s="4">
        <v>4</v>
      </c>
      <c r="C18" s="499" t="s">
        <v>69</v>
      </c>
      <c r="D18" s="500"/>
      <c r="E18" s="64">
        <v>45292</v>
      </c>
      <c r="F18" s="2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 thickBot="1">
      <c r="B19" s="22"/>
      <c r="C19" s="22"/>
      <c r="D19" s="22"/>
      <c r="E19" s="22"/>
      <c r="F19" s="2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24"/>
      <c r="B20" s="476" t="s">
        <v>5</v>
      </c>
      <c r="C20" s="477"/>
      <c r="D20" s="477"/>
      <c r="E20" s="478"/>
      <c r="F20" s="25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4.25" customHeight="1">
      <c r="A21" s="24"/>
      <c r="B21" s="97" t="s">
        <v>6</v>
      </c>
      <c r="C21" s="98"/>
      <c r="D21" s="27"/>
      <c r="E21" s="111">
        <f>E16</f>
        <v>2723.41</v>
      </c>
      <c r="F21" s="29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4.25" customHeight="1">
      <c r="A22" s="24"/>
      <c r="B22" s="42" t="s">
        <v>111</v>
      </c>
      <c r="C22" s="43"/>
      <c r="D22" s="32">
        <v>0.3</v>
      </c>
      <c r="E22" s="112">
        <f>E21*D22</f>
        <v>817.02299999999991</v>
      </c>
      <c r="F22" s="29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4.25" customHeight="1" thickBot="1">
      <c r="A23" s="24"/>
      <c r="B23" s="460" t="s">
        <v>7</v>
      </c>
      <c r="C23" s="461"/>
      <c r="D23" s="462"/>
      <c r="E23" s="113">
        <f>E22+E21</f>
        <v>3540.433</v>
      </c>
      <c r="F23" s="3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4.25" customHeight="1" thickBot="1"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14.25" customHeight="1" thickBot="1">
      <c r="B25" s="454" t="s">
        <v>8</v>
      </c>
      <c r="C25" s="455"/>
      <c r="D25" s="455"/>
      <c r="E25" s="456"/>
      <c r="F25" s="25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4.25" customHeight="1">
      <c r="B26" s="471" t="s">
        <v>9</v>
      </c>
      <c r="C26" s="472"/>
      <c r="D26" s="472"/>
      <c r="E26" s="473"/>
      <c r="F26" s="2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4.25" customHeight="1">
      <c r="B27" s="97" t="s">
        <v>10</v>
      </c>
      <c r="C27" s="98"/>
      <c r="D27" s="32">
        <f>supervisor!D27</f>
        <v>8.3299999999999999E-2</v>
      </c>
      <c r="E27" s="33">
        <f>IF($E$23="","",D27*$E$23)</f>
        <v>294.91806889999998</v>
      </c>
      <c r="F27" s="3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4.25" customHeight="1">
      <c r="B28" s="296" t="s">
        <v>37</v>
      </c>
      <c r="C28" s="297"/>
      <c r="D28" s="32">
        <f>'ES Memória de Cálculo'!B6</f>
        <v>8.9300000000000004E-2</v>
      </c>
      <c r="E28" s="33">
        <f>IF($E$23="","",D28*$E$23)</f>
        <v>316.16066690000002</v>
      </c>
      <c r="F28" s="3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14.25" customHeight="1">
      <c r="B29" s="97" t="s">
        <v>277</v>
      </c>
      <c r="C29" s="98"/>
      <c r="D29" s="32">
        <f>supervisor!D29</f>
        <v>3.1699999999999999E-2</v>
      </c>
      <c r="E29" s="33">
        <f>IF($E$23="","",D29*$E$23)</f>
        <v>112.2317261</v>
      </c>
      <c r="F29" s="3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4.25" customHeight="1" thickBot="1">
      <c r="B30" s="469" t="s">
        <v>11</v>
      </c>
      <c r="C30" s="475"/>
      <c r="D30" s="470"/>
      <c r="E30" s="35">
        <f>IF(E23="","",SUM(E27:E29))</f>
        <v>723.31046190000006</v>
      </c>
      <c r="F30" s="3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4.25" customHeight="1">
      <c r="B31" s="471" t="s">
        <v>12</v>
      </c>
      <c r="C31" s="472"/>
      <c r="D31" s="472"/>
      <c r="E31" s="473"/>
      <c r="F31" s="2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4.25" customHeight="1">
      <c r="B32" s="97" t="s">
        <v>13</v>
      </c>
      <c r="C32" s="98"/>
      <c r="D32" s="32">
        <v>0.2</v>
      </c>
      <c r="E32" s="33">
        <f t="shared" ref="E32:E39" si="0">IF($E$23="","",($E$23+$E$30)*D32)</f>
        <v>852.74869237999997</v>
      </c>
      <c r="F32" s="34"/>
      <c r="H32" s="1"/>
      <c r="I32" s="1"/>
      <c r="J32" s="1"/>
      <c r="K32" s="36"/>
      <c r="L32" s="1"/>
      <c r="M32" s="1"/>
      <c r="N32" s="1"/>
      <c r="O32" s="1"/>
      <c r="P32" s="1"/>
      <c r="Q32" s="1"/>
      <c r="R32" s="1"/>
      <c r="S32" s="1"/>
    </row>
    <row r="33" spans="2:19" ht="14.25" customHeight="1">
      <c r="B33" s="97" t="s">
        <v>14</v>
      </c>
      <c r="C33" s="98"/>
      <c r="D33" s="32">
        <v>1.4999999999999999E-2</v>
      </c>
      <c r="E33" s="33">
        <f t="shared" si="0"/>
        <v>63.956151928499992</v>
      </c>
      <c r="F33" s="3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2:19" ht="14.25" customHeight="1">
      <c r="B34" s="97" t="s">
        <v>15</v>
      </c>
      <c r="C34" s="98"/>
      <c r="D34" s="32">
        <v>0.01</v>
      </c>
      <c r="E34" s="33">
        <f t="shared" si="0"/>
        <v>42.637434618999997</v>
      </c>
      <c r="F34" s="3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2:19" ht="14.25" customHeight="1">
      <c r="B35" s="97" t="s">
        <v>16</v>
      </c>
      <c r="C35" s="98"/>
      <c r="D35" s="32">
        <v>2E-3</v>
      </c>
      <c r="E35" s="33">
        <f t="shared" si="0"/>
        <v>8.5274869237999997</v>
      </c>
      <c r="F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2:19" ht="14.25" customHeight="1">
      <c r="B36" s="97" t="s">
        <v>17</v>
      </c>
      <c r="C36" s="98"/>
      <c r="D36" s="32">
        <v>2.5000000000000001E-2</v>
      </c>
      <c r="E36" s="33">
        <f t="shared" si="0"/>
        <v>106.5935865475</v>
      </c>
      <c r="F36" s="3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2:19" ht="14.25" customHeight="1">
      <c r="B37" s="97" t="s">
        <v>18</v>
      </c>
      <c r="C37" s="98"/>
      <c r="D37" s="32">
        <v>0.08</v>
      </c>
      <c r="E37" s="33">
        <f t="shared" si="0"/>
        <v>341.09947695199997</v>
      </c>
      <c r="F37" s="3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2:19" ht="14.25" customHeight="1">
      <c r="B38" s="97" t="s">
        <v>19</v>
      </c>
      <c r="C38" s="98"/>
      <c r="D38" s="37">
        <f>supervisor!D38</f>
        <v>1.4999999999999999E-2</v>
      </c>
      <c r="E38" s="33">
        <f t="shared" si="0"/>
        <v>63.956151928499992</v>
      </c>
      <c r="F38" s="3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2:19" ht="14.25" customHeight="1">
      <c r="B39" s="97" t="s">
        <v>20</v>
      </c>
      <c r="C39" s="98"/>
      <c r="D39" s="32">
        <v>6.0000000000000001E-3</v>
      </c>
      <c r="E39" s="33">
        <f t="shared" si="0"/>
        <v>25.582460771399997</v>
      </c>
      <c r="F39" s="34"/>
      <c r="H39" s="450" t="s">
        <v>23</v>
      </c>
      <c r="I39" s="468">
        <v>21</v>
      </c>
      <c r="J39" s="1"/>
      <c r="K39" s="1"/>
      <c r="L39" s="115"/>
      <c r="M39" s="115"/>
      <c r="N39" s="1"/>
      <c r="O39" s="1"/>
      <c r="P39" s="1"/>
      <c r="Q39" s="1"/>
      <c r="R39" s="1"/>
      <c r="S39" s="1"/>
    </row>
    <row r="40" spans="2:19" ht="14.25" customHeight="1" thickBot="1">
      <c r="B40" s="469" t="s">
        <v>21</v>
      </c>
      <c r="C40" s="470"/>
      <c r="D40" s="38">
        <f>SUM(D32:D39)</f>
        <v>0.35300000000000009</v>
      </c>
      <c r="E40" s="35">
        <f>IF(E23="","",SUM(E32:E39))</f>
        <v>1505.1014420507001</v>
      </c>
      <c r="F40" s="31"/>
      <c r="H40" s="450"/>
      <c r="I40" s="468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2:19" ht="14.25" customHeight="1">
      <c r="B41" s="471" t="s">
        <v>22</v>
      </c>
      <c r="C41" s="472"/>
      <c r="D41" s="472"/>
      <c r="E41" s="473"/>
      <c r="F41" s="23"/>
      <c r="H41" s="450"/>
      <c r="I41" s="468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2:19" ht="14.25" customHeight="1">
      <c r="B42" s="457" t="s">
        <v>24</v>
      </c>
      <c r="C42" s="458"/>
      <c r="D42" s="459"/>
      <c r="E42" s="33">
        <f>IF(E21="","",(I39*I42))</f>
        <v>974.87459999999987</v>
      </c>
      <c r="F42" s="34"/>
      <c r="H42" s="56" t="s">
        <v>72</v>
      </c>
      <c r="I42" s="114">
        <f>47.37-(47.37*2%)</f>
        <v>46.422599999999996</v>
      </c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2:19" ht="14.25" customHeight="1">
      <c r="B43" s="457" t="s">
        <v>25</v>
      </c>
      <c r="C43" s="458"/>
      <c r="D43" s="459"/>
      <c r="E43" s="33">
        <f>((I39*I43)*2)-(E21*6%)</f>
        <v>67.595400000000012</v>
      </c>
      <c r="F43" s="34"/>
      <c r="H43" s="56" t="s">
        <v>26</v>
      </c>
      <c r="I43" s="99">
        <v>5.5</v>
      </c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2:19" ht="14.25" customHeight="1">
      <c r="B44" s="42" t="s">
        <v>188</v>
      </c>
      <c r="C44" s="43"/>
      <c r="D44" s="44"/>
      <c r="E44" s="155">
        <f>supervisor!E44</f>
        <v>10</v>
      </c>
      <c r="F44" s="34"/>
      <c r="H44" s="56"/>
      <c r="I44" s="145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2:19" ht="14.25" customHeight="1">
      <c r="B45" s="42"/>
      <c r="C45" s="43"/>
      <c r="D45" s="44"/>
      <c r="E45" s="155"/>
      <c r="F45" s="34"/>
      <c r="H45" s="56"/>
      <c r="I45" s="145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2:19" ht="14.25" customHeight="1" thickBot="1">
      <c r="B46" s="469" t="s">
        <v>27</v>
      </c>
      <c r="C46" s="475"/>
      <c r="D46" s="470">
        <f>SUM(D42:D43)</f>
        <v>0</v>
      </c>
      <c r="E46" s="35">
        <f>IF(E23="","",SUM(E42:E45))</f>
        <v>1052.4699999999998</v>
      </c>
      <c r="F46" s="31"/>
      <c r="H46" s="56"/>
      <c r="I46" s="57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2:19" ht="14.25" customHeight="1" thickBot="1">
      <c r="B47" s="460" t="s">
        <v>28</v>
      </c>
      <c r="C47" s="461"/>
      <c r="D47" s="462"/>
      <c r="E47" s="30">
        <f>IF(E23="","",E30+E40+E46)</f>
        <v>3280.8819039507002</v>
      </c>
      <c r="F47" s="31"/>
      <c r="H47" s="56"/>
      <c r="I47" s="57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2:19" ht="14.25" customHeight="1" thickBot="1">
      <c r="H48" s="56"/>
      <c r="I48" s="57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2:19" ht="14.25" customHeight="1" thickBot="1">
      <c r="B49" s="454" t="s">
        <v>29</v>
      </c>
      <c r="C49" s="455"/>
      <c r="D49" s="455"/>
      <c r="E49" s="456"/>
      <c r="F49" s="25"/>
      <c r="H49" s="56"/>
      <c r="I49" s="57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2:19" ht="14.25" customHeight="1">
      <c r="B50" s="97" t="s">
        <v>30</v>
      </c>
      <c r="C50" s="97"/>
      <c r="D50" s="32">
        <f>supervisor!D50</f>
        <v>8.3333333333333328E-4</v>
      </c>
      <c r="E50" s="33">
        <f t="shared" ref="E50:E55" si="1">IF($E$23="","",D50*$E$23)</f>
        <v>2.9503608333333333</v>
      </c>
      <c r="F50" s="34"/>
      <c r="H50" s="450" t="s">
        <v>71</v>
      </c>
      <c r="I50" s="451">
        <v>5.5500000000000001E-2</v>
      </c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2:19" ht="14.25" customHeight="1">
      <c r="B51" s="97" t="s">
        <v>31</v>
      </c>
      <c r="C51" s="97"/>
      <c r="D51" s="32">
        <f>D37*D50</f>
        <v>6.666666666666667E-5</v>
      </c>
      <c r="E51" s="33">
        <f t="shared" si="1"/>
        <v>0.23602886666666667</v>
      </c>
      <c r="F51" s="34"/>
      <c r="H51" s="450"/>
      <c r="I51" s="45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2:19" ht="14.25" customHeight="1">
      <c r="B52" s="97" t="s">
        <v>183</v>
      </c>
      <c r="C52" s="97"/>
      <c r="D52" s="178">
        <f>supervisor!D52</f>
        <v>3.4000000000000002E-2</v>
      </c>
      <c r="E52" s="33">
        <f t="shared" si="1"/>
        <v>120.37472200000001</v>
      </c>
      <c r="F52" s="34"/>
      <c r="H52" s="450" t="s">
        <v>74</v>
      </c>
      <c r="I52" s="468">
        <v>0.9</v>
      </c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2:19" ht="14.25" customHeight="1">
      <c r="B53" s="97" t="s">
        <v>33</v>
      </c>
      <c r="C53" s="97"/>
      <c r="D53" s="32">
        <f>supervisor!D53</f>
        <v>1.9444444444444446E-4</v>
      </c>
      <c r="E53" s="33">
        <f t="shared" si="1"/>
        <v>0.68841752777777787</v>
      </c>
      <c r="F53" s="34"/>
      <c r="H53" s="450"/>
      <c r="I53" s="468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2:19" ht="14.25" customHeight="1">
      <c r="B54" s="97" t="s">
        <v>34</v>
      </c>
      <c r="C54" s="98"/>
      <c r="D54" s="32">
        <f>supervisor!D54</f>
        <v>6.8638888888888916E-5</v>
      </c>
      <c r="E54" s="33">
        <f t="shared" si="1"/>
        <v>0.24301138730555566</v>
      </c>
      <c r="F54" s="34"/>
      <c r="H54" s="450"/>
      <c r="I54" s="468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2:19" ht="14.25" customHeight="1">
      <c r="B55" s="97" t="s">
        <v>186</v>
      </c>
      <c r="C55" s="97"/>
      <c r="D55" s="178">
        <f>supervisor!D55</f>
        <v>6.0000000000000001E-3</v>
      </c>
      <c r="E55" s="33">
        <f t="shared" si="1"/>
        <v>21.242598000000001</v>
      </c>
      <c r="F55" s="34"/>
      <c r="H55" s="56"/>
      <c r="I55" s="56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2:19" ht="14.25" customHeight="1" thickBot="1">
      <c r="B56" s="460" t="s">
        <v>35</v>
      </c>
      <c r="C56" s="461"/>
      <c r="D56" s="462"/>
      <c r="E56" s="30">
        <f>IF(E23="","",SUM(E50:E55))</f>
        <v>145.73513861508334</v>
      </c>
      <c r="F56" s="31"/>
      <c r="H56" s="56"/>
      <c r="I56" s="56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2:19" ht="14.25" customHeight="1" thickBot="1">
      <c r="H57" s="56"/>
      <c r="I57" s="56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2:19" ht="14.25" customHeight="1" thickBot="1">
      <c r="B58" s="454" t="s">
        <v>36</v>
      </c>
      <c r="C58" s="455"/>
      <c r="D58" s="455"/>
      <c r="E58" s="456"/>
      <c r="F58" s="25"/>
      <c r="H58" s="56"/>
      <c r="I58" s="56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2:19" ht="14.25" customHeight="1">
      <c r="B59" s="97" t="s">
        <v>37</v>
      </c>
      <c r="C59" s="98"/>
      <c r="D59" s="178">
        <f>supervisor!D59</f>
        <v>0</v>
      </c>
      <c r="E59" s="33">
        <f>IF($E$23="","",D59*$E$23)</f>
        <v>0</v>
      </c>
      <c r="F59" s="34"/>
      <c r="H59" s="56"/>
      <c r="I59" s="56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2:19" ht="14.25" customHeight="1">
      <c r="B60" s="97" t="s">
        <v>38</v>
      </c>
      <c r="C60" s="98"/>
      <c r="D60" s="32">
        <f>supervisor!D60</f>
        <v>1.6444444444444446E-4</v>
      </c>
      <c r="E60" s="33">
        <f>IF($E$23="","",D60*$E$23)</f>
        <v>0.58220453777777781</v>
      </c>
      <c r="F60" s="34"/>
      <c r="H60" s="56" t="s">
        <v>39</v>
      </c>
      <c r="I60" s="99">
        <v>5.96</v>
      </c>
      <c r="J60" s="1"/>
      <c r="K60" s="1"/>
      <c r="L60" s="474"/>
      <c r="M60" s="474"/>
      <c r="N60" s="1"/>
      <c r="O60" s="1"/>
      <c r="P60" s="1"/>
      <c r="Q60" s="1"/>
      <c r="R60" s="1"/>
      <c r="S60" s="1"/>
    </row>
    <row r="61" spans="2:19" ht="14.25" customHeight="1">
      <c r="B61" s="97" t="s">
        <v>40</v>
      </c>
      <c r="C61" s="98"/>
      <c r="D61" s="32">
        <f>supervisor!D61</f>
        <v>2.0833333333333332E-4</v>
      </c>
      <c r="E61" s="33">
        <f>IF($E$23="","",D61*$E$23)</f>
        <v>0.73759020833333333</v>
      </c>
      <c r="F61" s="34"/>
      <c r="H61" s="56" t="s">
        <v>41</v>
      </c>
      <c r="I61" s="101">
        <v>1.4999999999999999E-2</v>
      </c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2:19" ht="14.25" customHeight="1">
      <c r="B62" s="97" t="s">
        <v>42</v>
      </c>
      <c r="C62" s="98"/>
      <c r="D62" s="32">
        <f>supervisor!D62</f>
        <v>2.0833333333333332E-4</v>
      </c>
      <c r="E62" s="33">
        <f>IF($E$23="","",D62*$E$23)</f>
        <v>0.73759020833333333</v>
      </c>
      <c r="F62" s="34"/>
      <c r="H62" s="56" t="s">
        <v>73</v>
      </c>
      <c r="I62" s="101">
        <v>0.08</v>
      </c>
      <c r="J62" s="1"/>
      <c r="K62" s="72"/>
      <c r="L62" s="474"/>
      <c r="M62" s="474"/>
      <c r="N62" s="1"/>
      <c r="O62" s="1"/>
      <c r="P62" s="1"/>
      <c r="Q62" s="1"/>
      <c r="R62" s="1"/>
      <c r="S62" s="1"/>
    </row>
    <row r="63" spans="2:19" ht="14.25" customHeight="1">
      <c r="B63" s="97" t="s">
        <v>43</v>
      </c>
      <c r="C63" s="98"/>
      <c r="D63" s="32">
        <f>supervisor!D63</f>
        <v>1.6180555555555555E-4</v>
      </c>
      <c r="E63" s="33">
        <f>IF($E$23="","",D63*$E$23)</f>
        <v>0.57286172847222216</v>
      </c>
      <c r="F63" s="34"/>
      <c r="H63" s="450" t="s">
        <v>44</v>
      </c>
      <c r="I63" s="451">
        <v>0.02</v>
      </c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2:19" ht="14.25" customHeight="1">
      <c r="B64" s="97" t="s">
        <v>45</v>
      </c>
      <c r="C64" s="98"/>
      <c r="D64" s="32"/>
      <c r="E64" s="33" t="s">
        <v>46</v>
      </c>
      <c r="F64" s="34"/>
      <c r="H64" s="450"/>
      <c r="I64" s="451"/>
      <c r="J64" s="1"/>
      <c r="K64" s="72"/>
      <c r="L64" s="1"/>
      <c r="M64" s="1"/>
      <c r="N64" s="1"/>
      <c r="O64" s="1"/>
      <c r="P64" s="1"/>
      <c r="Q64" s="1"/>
      <c r="R64" s="1"/>
      <c r="S64" s="1"/>
    </row>
    <row r="65" spans="2:19" ht="14.25" customHeight="1" thickBot="1">
      <c r="B65" s="469" t="s">
        <v>47</v>
      </c>
      <c r="C65" s="475"/>
      <c r="D65" s="470"/>
      <c r="E65" s="35">
        <f>IF(E23="","",SUM(E59:E64))</f>
        <v>2.6302466829166664</v>
      </c>
      <c r="F65" s="31"/>
      <c r="H65" s="450"/>
      <c r="I65" s="45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2:19" ht="14.25" customHeight="1" thickBot="1">
      <c r="B66" s="501" t="s">
        <v>48</v>
      </c>
      <c r="C66" s="502"/>
      <c r="D66" s="503">
        <f>SUM(D63:D65)</f>
        <v>1.6180555555555555E-4</v>
      </c>
      <c r="E66" s="39">
        <f>IF(E23="","",E65*D40)</f>
        <v>0.92847707906958343</v>
      </c>
      <c r="F66" s="3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2:19" ht="14.25" customHeight="1" thickBot="1">
      <c r="B67" s="465" t="s">
        <v>49</v>
      </c>
      <c r="C67" s="466"/>
      <c r="D67" s="467"/>
      <c r="E67" s="40">
        <f>IF(E23="","",E65+E66)</f>
        <v>3.5587237619862497</v>
      </c>
      <c r="F67" s="31"/>
      <c r="H67" s="4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2:19" ht="14.25" customHeight="1" thickBot="1">
      <c r="H68" s="4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2:19" ht="14.25" customHeight="1" thickBot="1">
      <c r="B69" s="454" t="s">
        <v>50</v>
      </c>
      <c r="C69" s="455"/>
      <c r="D69" s="455"/>
      <c r="E69" s="456"/>
      <c r="F69" s="25"/>
      <c r="H69" s="36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2:19" ht="14.25" customHeight="1">
      <c r="B70" s="457" t="s">
        <v>89</v>
      </c>
      <c r="C70" s="458"/>
      <c r="D70" s="459"/>
      <c r="E70" s="96">
        <f>Uniformes!H15</f>
        <v>35.333075000000001</v>
      </c>
      <c r="F70" s="29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2:19" ht="14.25" customHeight="1">
      <c r="B71" s="42" t="s">
        <v>51</v>
      </c>
      <c r="C71" s="43"/>
      <c r="D71" s="44"/>
      <c r="E71" s="179">
        <f>Equipamentos!H23+Equipamentos!H19+Equipamentos!H24</f>
        <v>45.780362109999999</v>
      </c>
      <c r="F71" s="29"/>
      <c r="H71" s="1"/>
      <c r="I71" s="1"/>
      <c r="J71" s="1"/>
      <c r="O71" s="1"/>
      <c r="P71" s="1"/>
      <c r="Q71" s="1"/>
      <c r="R71" s="1"/>
      <c r="S71" s="1"/>
    </row>
    <row r="72" spans="2:19" ht="14.25" customHeight="1" thickBot="1">
      <c r="B72" s="460" t="s">
        <v>52</v>
      </c>
      <c r="C72" s="461"/>
      <c r="D72" s="462"/>
      <c r="E72" s="30">
        <f>IF(E23="","",SUM(E70:E71))</f>
        <v>81.113437110000007</v>
      </c>
      <c r="F72" s="31"/>
      <c r="H72" s="1"/>
      <c r="I72" s="1"/>
      <c r="J72" s="1"/>
      <c r="O72" s="1"/>
      <c r="P72" s="1"/>
      <c r="Q72" s="1"/>
      <c r="R72" s="1"/>
      <c r="S72" s="1"/>
    </row>
    <row r="73" spans="2:19" ht="14.25" customHeight="1" thickBot="1">
      <c r="H73" s="1"/>
      <c r="I73" s="1"/>
      <c r="J73" s="1"/>
      <c r="O73" s="66"/>
      <c r="P73" s="1"/>
      <c r="Q73" s="1"/>
      <c r="R73" s="1"/>
      <c r="S73" s="1"/>
    </row>
    <row r="74" spans="2:19" ht="14.25" customHeight="1" thickBot="1">
      <c r="B74" s="454" t="s">
        <v>53</v>
      </c>
      <c r="C74" s="455"/>
      <c r="D74" s="455"/>
      <c r="E74" s="456"/>
      <c r="F74" s="25"/>
      <c r="H74" s="1"/>
      <c r="I74" s="1"/>
      <c r="J74" s="1"/>
      <c r="O74" s="66"/>
      <c r="P74" s="1"/>
      <c r="Q74" s="1"/>
      <c r="R74" s="1"/>
      <c r="S74" s="1"/>
    </row>
    <row r="75" spans="2:19" ht="14.25" customHeight="1" thickBot="1">
      <c r="B75" s="45" t="s">
        <v>54</v>
      </c>
      <c r="C75" s="46"/>
      <c r="D75" s="177">
        <v>1.1972490000000001E-2</v>
      </c>
      <c r="E75" s="47">
        <f>IF($E$23="","",($E$23+$E$47+$E$56+$E$67+$E$72)*$D$75)</f>
        <v>84.426673563436665</v>
      </c>
      <c r="F75" s="34"/>
      <c r="H75" s="1"/>
      <c r="I75" s="1"/>
      <c r="J75" s="1"/>
      <c r="O75" s="66"/>
      <c r="P75" s="1"/>
      <c r="Q75" s="1"/>
      <c r="R75" s="36"/>
      <c r="S75" s="1"/>
    </row>
    <row r="76" spans="2:19" ht="14.25" customHeight="1" thickBot="1">
      <c r="B76" s="48" t="s">
        <v>55</v>
      </c>
      <c r="C76" s="49"/>
      <c r="D76" s="156">
        <f>supervisor!D76</f>
        <v>0.03</v>
      </c>
      <c r="E76" s="47">
        <f>IF($E$23="","",($D$76*($E$23+$E$47+$E$56+$E$67+$E$72+$E$75+$E$79)/(1-SUM($D$76:$D$78))))</f>
        <v>236.6998478085786</v>
      </c>
      <c r="F76" s="34"/>
      <c r="H76" s="1"/>
      <c r="I76" s="1"/>
      <c r="J76" s="1"/>
      <c r="O76" s="66"/>
      <c r="P76" s="1"/>
      <c r="Q76" s="1"/>
      <c r="R76" s="1"/>
      <c r="S76" s="1"/>
    </row>
    <row r="77" spans="2:19" ht="14.25" customHeight="1" thickBot="1">
      <c r="B77" s="97" t="s">
        <v>56</v>
      </c>
      <c r="C77" s="98"/>
      <c r="D77" s="156">
        <v>6.4999999999999997E-3</v>
      </c>
      <c r="E77" s="47">
        <f>IF($E$23="","",($D$77*($E$23+$E$47+$E$56+$E$67+$E$72+$E$75+$E$79)/(1-SUM($D$76:$D$78))))</f>
        <v>51.284967025192032</v>
      </c>
      <c r="F77" s="34"/>
      <c r="H77" s="1"/>
      <c r="I77" s="1"/>
      <c r="J77" s="1"/>
      <c r="O77" s="66"/>
      <c r="P77" s="1"/>
      <c r="Q77" s="1"/>
      <c r="R77" s="36"/>
      <c r="S77" s="1"/>
    </row>
    <row r="78" spans="2:19" ht="14.25" customHeight="1" thickBot="1">
      <c r="B78" s="97" t="s">
        <v>57</v>
      </c>
      <c r="C78" s="98"/>
      <c r="D78" s="177">
        <v>0.05</v>
      </c>
      <c r="E78" s="47">
        <f>IF($E$23="","",($D$78*($E$23+$E$47+$E$56+$E$67+$E$72+$E$75+$E$79)/(1-SUM($D$76:$D$78))))</f>
        <v>394.49974634763106</v>
      </c>
      <c r="F78" s="34"/>
      <c r="H78" s="1"/>
      <c r="I78" s="1"/>
      <c r="J78" s="1"/>
      <c r="O78" s="66"/>
      <c r="P78" s="1"/>
      <c r="Q78" s="1"/>
      <c r="R78" s="36"/>
      <c r="S78" s="1"/>
    </row>
    <row r="79" spans="2:19" ht="14.25" customHeight="1" thickBot="1">
      <c r="B79" s="97" t="s">
        <v>58</v>
      </c>
      <c r="C79" s="98"/>
      <c r="D79" s="177">
        <v>0.01</v>
      </c>
      <c r="E79" s="47">
        <f>IF($E$23="","",($E$23+$E$47+$E$56+$E$67+$E$72+$E$75)*$D$79)</f>
        <v>71.361488770012073</v>
      </c>
      <c r="F79" s="34"/>
      <c r="H79" s="1"/>
      <c r="I79" s="1"/>
      <c r="J79" s="1"/>
      <c r="O79" s="66"/>
      <c r="P79" s="1"/>
      <c r="Q79" s="1"/>
      <c r="R79" s="36"/>
      <c r="S79" s="1"/>
    </row>
    <row r="80" spans="2:19" ht="14.25" customHeight="1" thickBot="1">
      <c r="B80" s="460" t="s">
        <v>59</v>
      </c>
      <c r="C80" s="461"/>
      <c r="D80" s="462"/>
      <c r="E80" s="50">
        <f>IF(E23="","",SUM($E$75:$E$79))</f>
        <v>838.27272351485044</v>
      </c>
      <c r="F80" s="31"/>
      <c r="H80" s="1"/>
      <c r="I80" s="1"/>
      <c r="J80" s="1"/>
      <c r="O80" s="66"/>
      <c r="P80" s="1"/>
      <c r="Q80" s="1"/>
      <c r="R80" s="36"/>
      <c r="S80" s="1"/>
    </row>
    <row r="81" spans="2:19" ht="14.25" customHeight="1" thickBot="1">
      <c r="H81" s="1"/>
      <c r="I81" s="1"/>
      <c r="O81" s="66"/>
      <c r="P81" s="1"/>
      <c r="Q81" s="1"/>
      <c r="R81" s="1"/>
      <c r="S81" s="1"/>
    </row>
    <row r="82" spans="2:19" ht="14.25" customHeight="1" thickBot="1">
      <c r="B82" s="463" t="s">
        <v>60</v>
      </c>
      <c r="C82" s="464"/>
      <c r="D82" s="464"/>
      <c r="E82" s="51">
        <f>E23+E47+E56+E67+E72+E80</f>
        <v>7889.9949269526205</v>
      </c>
      <c r="F82" s="31"/>
      <c r="H82" s="306"/>
      <c r="I82" s="306"/>
      <c r="J82" s="1"/>
      <c r="O82" s="66"/>
      <c r="P82" s="1"/>
      <c r="Q82" s="1"/>
      <c r="R82" s="1"/>
      <c r="S82" s="1"/>
    </row>
    <row r="83" spans="2:19" ht="14.25" customHeight="1" thickBot="1">
      <c r="H83" s="1"/>
      <c r="I83" s="1"/>
      <c r="L83" s="74"/>
      <c r="O83" s="67"/>
    </row>
    <row r="84" spans="2:19" ht="14.25" customHeight="1" thickBot="1">
      <c r="B84" s="452" t="s">
        <v>61</v>
      </c>
      <c r="C84" s="453"/>
      <c r="D84" s="453"/>
      <c r="E84" s="52">
        <f>E82*E12</f>
        <v>118349.9239042893</v>
      </c>
      <c r="F84" s="31"/>
      <c r="K84" s="75"/>
      <c r="O84" s="67"/>
    </row>
    <row r="85" spans="2:19" ht="14.25" customHeight="1">
      <c r="B85" s="102"/>
      <c r="C85" s="102"/>
      <c r="D85" s="53"/>
      <c r="E85" s="54"/>
      <c r="F85" s="55"/>
      <c r="G85" s="54"/>
      <c r="H85" s="54"/>
      <c r="K85" s="76"/>
      <c r="O85" s="67"/>
    </row>
    <row r="86" spans="2:19" ht="14.25" customHeight="1">
      <c r="B86" s="3" t="s">
        <v>62</v>
      </c>
      <c r="D86" s="180">
        <f>IF(E23="","-",E82/E23)</f>
        <v>2.2285395393593439</v>
      </c>
      <c r="E86" s="3" t="str">
        <f>IF(E23="","a ser calculado",IF(D86&lt;=2.7,"OK","Superior a 2,7 --- Reavaliar planilha"))</f>
        <v>OK</v>
      </c>
      <c r="K86" s="73"/>
      <c r="O86" s="67"/>
    </row>
    <row r="87" spans="2:19" ht="14.25" customHeight="1">
      <c r="B87" s="436" t="s">
        <v>181</v>
      </c>
      <c r="C87" s="436"/>
      <c r="D87" s="436"/>
      <c r="E87" s="436"/>
      <c r="O87" s="67"/>
    </row>
    <row r="88" spans="2:19" ht="14.25" customHeight="1">
      <c r="O88" s="67"/>
    </row>
    <row r="89" spans="2:19" ht="14.25" customHeight="1">
      <c r="O89" s="67"/>
    </row>
    <row r="90" spans="2:19" ht="14.25" customHeight="1">
      <c r="O90" s="67"/>
      <c r="P90" s="65"/>
    </row>
    <row r="91" spans="2:19" ht="14.25" customHeight="1">
      <c r="P91" s="65"/>
    </row>
    <row r="93" spans="2:19" ht="14.25" customHeight="1">
      <c r="L93" s="65"/>
    </row>
  </sheetData>
  <sheetProtection formatColumns="0" formatRows="0"/>
  <mergeCells count="50">
    <mergeCell ref="B87:E87"/>
    <mergeCell ref="B8:D8"/>
    <mergeCell ref="B2:E2"/>
    <mergeCell ref="B4:E4"/>
    <mergeCell ref="B5:D5"/>
    <mergeCell ref="B6:D6"/>
    <mergeCell ref="B7:D7"/>
    <mergeCell ref="B26:E26"/>
    <mergeCell ref="B10:E10"/>
    <mergeCell ref="B11:C11"/>
    <mergeCell ref="B12:C12"/>
    <mergeCell ref="B14:E14"/>
    <mergeCell ref="C15:D15"/>
    <mergeCell ref="C16:D16"/>
    <mergeCell ref="C17:D17"/>
    <mergeCell ref="C18:D18"/>
    <mergeCell ref="B20:E20"/>
    <mergeCell ref="B23:D23"/>
    <mergeCell ref="B25:E25"/>
    <mergeCell ref="B30:D30"/>
    <mergeCell ref="B31:E31"/>
    <mergeCell ref="H39:H41"/>
    <mergeCell ref="I39:I41"/>
    <mergeCell ref="B40:C40"/>
    <mergeCell ref="B41:E41"/>
    <mergeCell ref="L60:M60"/>
    <mergeCell ref="B42:D42"/>
    <mergeCell ref="B43:D43"/>
    <mergeCell ref="B46:D46"/>
    <mergeCell ref="B47:D47"/>
    <mergeCell ref="B49:E49"/>
    <mergeCell ref="H50:H51"/>
    <mergeCell ref="B67:D67"/>
    <mergeCell ref="I50:I51"/>
    <mergeCell ref="H52:H54"/>
    <mergeCell ref="I52:I54"/>
    <mergeCell ref="B56:D56"/>
    <mergeCell ref="B58:E58"/>
    <mergeCell ref="L62:M62"/>
    <mergeCell ref="H63:H65"/>
    <mergeCell ref="I63:I65"/>
    <mergeCell ref="B65:D65"/>
    <mergeCell ref="B66:D66"/>
    <mergeCell ref="B84:D84"/>
    <mergeCell ref="B69:E69"/>
    <mergeCell ref="B70:D70"/>
    <mergeCell ref="B72:D72"/>
    <mergeCell ref="B74:E74"/>
    <mergeCell ref="B80:D80"/>
    <mergeCell ref="B82:D82"/>
  </mergeCells>
  <dataValidations disablePrompts="1" count="7">
    <dataValidation type="decimal" operator="lessThanOrEqual" allowBlank="1" showInputMessage="1" showErrorMessage="1" errorTitle="Valor inválido" error="Máximo aceito = 6%" sqref="D38">
      <formula1>0.06</formula1>
    </dataValidation>
    <dataValidation type="decimal" operator="lessThanOrEqual" allowBlank="1" showInputMessage="1" showErrorMessage="1" errorTitle="Valor inválido" error="Deve ser igual ou inferior a 2,00% (Ref.: IBGE)" sqref="I63">
      <formula1>0.02</formula1>
    </dataValidation>
    <dataValidation type="decimal" operator="lessThanOrEqual" allowBlank="1" showInputMessage="1" showErrorMessage="1" errorTitle="Valor inválido" error="Deve ser igual ou inferior a 8,00% (Ref.: IBGE)" sqref="I62">
      <formula1>0.08</formula1>
    </dataValidation>
    <dataValidation type="decimal" operator="lessThanOrEqual" allowBlank="1" showInputMessage="1" showErrorMessage="1" errorTitle="Valor inválido" error="Deve ser igual ou inferior a 1,50% (Ref.: IBGE)" sqref="I61">
      <formula1>0.015</formula1>
    </dataValidation>
    <dataValidation type="decimal" operator="lessThanOrEqual" allowBlank="1" showInputMessage="1" showErrorMessage="1" errorTitle="Valor inválido" error="Deve ser igual ou inferior a 5,55 (Ref.: TCU)" sqref="I50">
      <formula1>0.0555</formula1>
    </dataValidation>
    <dataValidation type="decimal" operator="lessThanOrEqual" allowBlank="1" showInputMessage="1" showErrorMessage="1" errorTitle="Valor inválido" error="Deve ser igual ou inferior a 5,96 (Ref.: IBGE)" sqref="I60">
      <formula1>5.96</formula1>
    </dataValidation>
    <dataValidation type="list" allowBlank="1" showInputMessage="1" showErrorMessage="1" sqref="H12">
      <formula1>$J$2:$J$3</formula1>
    </dataValidation>
  </dataValidations>
  <pageMargins left="0.25" right="0.25" top="0.75" bottom="0.75" header="0.3" footer="0.3"/>
  <pageSetup paperSize="9" scale="60" orientation="portrait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3">
    <pageSetUpPr fitToPage="1"/>
  </sheetPr>
  <dimension ref="A1:S94"/>
  <sheetViews>
    <sheetView showGridLines="0" view="pageBreakPreview" zoomScale="90" zoomScaleNormal="100" zoomScaleSheetLayoutView="90" workbookViewId="0">
      <selection activeCell="E8" sqref="E8"/>
    </sheetView>
  </sheetViews>
  <sheetFormatPr defaultRowHeight="14.25" customHeight="1"/>
  <cols>
    <col min="1" max="1" width="1.7109375" style="18" customWidth="1"/>
    <col min="2" max="2" width="13.7109375" style="3" customWidth="1"/>
    <col min="3" max="3" width="59.42578125" style="3" customWidth="1"/>
    <col min="4" max="5" width="12.140625" style="3" customWidth="1"/>
    <col min="6" max="6" width="1.7109375" style="17" customWidth="1"/>
    <col min="7" max="7" width="1.7109375" style="18" customWidth="1"/>
    <col min="8" max="8" width="18.28515625" style="18" customWidth="1"/>
    <col min="9" max="9" width="18.7109375" style="18" customWidth="1"/>
    <col min="10" max="10" width="9.140625" style="18" hidden="1" customWidth="1"/>
    <col min="11" max="11" width="17.7109375" style="18" customWidth="1"/>
    <col min="12" max="12" width="11.5703125" style="18" bestFit="1" customWidth="1"/>
    <col min="13" max="13" width="11.42578125" style="18" bestFit="1" customWidth="1"/>
    <col min="14" max="15" width="9.140625" style="18"/>
    <col min="16" max="16" width="10.5703125" style="18" bestFit="1" customWidth="1"/>
    <col min="17" max="17" width="13.140625" style="18" customWidth="1"/>
    <col min="18" max="16384" width="9.140625" style="18"/>
  </cols>
  <sheetData>
    <row r="1" spans="2:19" ht="14.25" customHeight="1" thickBot="1"/>
    <row r="2" spans="2:19" s="3" customFormat="1" ht="22.5" customHeight="1" thickBot="1">
      <c r="B2" s="482" t="s">
        <v>84</v>
      </c>
      <c r="C2" s="483"/>
      <c r="D2" s="483"/>
      <c r="E2" s="484"/>
      <c r="G2" s="19"/>
      <c r="J2" s="19" t="s">
        <v>0</v>
      </c>
    </row>
    <row r="3" spans="2:19" ht="14.25" customHeight="1" thickBot="1">
      <c r="J3" s="19" t="s">
        <v>1</v>
      </c>
    </row>
    <row r="4" spans="2:19" ht="14.25" customHeight="1">
      <c r="B4" s="485" t="s">
        <v>63</v>
      </c>
      <c r="C4" s="486"/>
      <c r="D4" s="486"/>
      <c r="E4" s="487"/>
      <c r="J4" s="19"/>
    </row>
    <row r="5" spans="2:19" ht="14.25" customHeight="1">
      <c r="B5" s="488" t="s">
        <v>75</v>
      </c>
      <c r="C5" s="489"/>
      <c r="D5" s="490"/>
      <c r="E5" s="63"/>
      <c r="J5" s="19"/>
    </row>
    <row r="6" spans="2:19" ht="14.25" customHeight="1">
      <c r="B6" s="457" t="s">
        <v>76</v>
      </c>
      <c r="C6" s="458"/>
      <c r="D6" s="459"/>
      <c r="E6" s="9" t="s">
        <v>83</v>
      </c>
      <c r="J6" s="19"/>
    </row>
    <row r="7" spans="2:19" ht="14.25" customHeight="1">
      <c r="B7" s="457" t="s">
        <v>77</v>
      </c>
      <c r="C7" s="458"/>
      <c r="D7" s="459"/>
      <c r="E7" s="9">
        <v>2024</v>
      </c>
      <c r="J7" s="19"/>
    </row>
    <row r="8" spans="2:19" ht="14.25" customHeight="1" thickBot="1">
      <c r="B8" s="479" t="s">
        <v>78</v>
      </c>
      <c r="C8" s="480"/>
      <c r="D8" s="481"/>
      <c r="E8" s="7">
        <v>12</v>
      </c>
      <c r="J8" s="19"/>
    </row>
    <row r="9" spans="2:19" ht="14.25" customHeight="1" thickBot="1">
      <c r="J9" s="19"/>
    </row>
    <row r="10" spans="2:19" ht="14.25" customHeight="1" thickBot="1">
      <c r="B10" s="485" t="s">
        <v>65</v>
      </c>
      <c r="C10" s="486"/>
      <c r="D10" s="486"/>
      <c r="E10" s="487"/>
      <c r="J10" s="19"/>
    </row>
    <row r="11" spans="2:19" s="2" customFormat="1" ht="33" customHeight="1" thickBot="1">
      <c r="B11" s="491" t="s">
        <v>2</v>
      </c>
      <c r="C11" s="492"/>
      <c r="D11" s="10" t="s">
        <v>3</v>
      </c>
      <c r="E11" s="11" t="s">
        <v>4</v>
      </c>
      <c r="F11" s="12"/>
      <c r="H11" s="13" t="s">
        <v>64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2:19" ht="14.25" customHeight="1" thickBot="1">
      <c r="B12" s="493" t="s">
        <v>113</v>
      </c>
      <c r="C12" s="494"/>
      <c r="D12" s="14" t="s">
        <v>94</v>
      </c>
      <c r="E12" s="15">
        <v>46</v>
      </c>
      <c r="F12" s="21"/>
      <c r="H12" s="16" t="s"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2:19" ht="14.25" customHeight="1" thickBot="1">
      <c r="B13" s="22"/>
      <c r="C13" s="22"/>
      <c r="D13" s="22"/>
      <c r="E13" s="22"/>
      <c r="F13" s="2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2:19" ht="14.25" customHeight="1">
      <c r="B14" s="485" t="s">
        <v>70</v>
      </c>
      <c r="C14" s="486"/>
      <c r="D14" s="486"/>
      <c r="E14" s="487"/>
      <c r="F14" s="2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2:19" ht="14.25" customHeight="1">
      <c r="B15" s="5">
        <v>1</v>
      </c>
      <c r="C15" s="495" t="s">
        <v>66</v>
      </c>
      <c r="D15" s="496"/>
      <c r="E15" s="8"/>
      <c r="F15" s="2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2:19" ht="14.25" customHeight="1">
      <c r="B16" s="6">
        <v>2</v>
      </c>
      <c r="C16" s="497" t="s">
        <v>67</v>
      </c>
      <c r="D16" s="498"/>
      <c r="E16" s="80">
        <f>' 44h de 2º a 6 feira'!E16</f>
        <v>2723.41</v>
      </c>
      <c r="F16" s="2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14.25" customHeight="1">
      <c r="B17" s="6">
        <v>3</v>
      </c>
      <c r="C17" s="497" t="s">
        <v>68</v>
      </c>
      <c r="D17" s="498"/>
      <c r="E17" s="9" t="s">
        <v>112</v>
      </c>
      <c r="F17" s="2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4.25" customHeight="1" thickBot="1">
      <c r="B18" s="4">
        <v>4</v>
      </c>
      <c r="C18" s="499" t="s">
        <v>69</v>
      </c>
      <c r="D18" s="500"/>
      <c r="E18" s="64">
        <v>45292</v>
      </c>
      <c r="F18" s="2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 thickBot="1">
      <c r="B19" s="22"/>
      <c r="C19" s="22"/>
      <c r="D19" s="22"/>
      <c r="E19" s="22"/>
      <c r="F19" s="2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24"/>
      <c r="B20" s="476" t="s">
        <v>5</v>
      </c>
      <c r="C20" s="477"/>
      <c r="D20" s="477"/>
      <c r="E20" s="478"/>
      <c r="F20" s="25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4.25" customHeight="1">
      <c r="A21" s="24"/>
      <c r="B21" s="20" t="s">
        <v>6</v>
      </c>
      <c r="C21" s="26"/>
      <c r="D21" s="27"/>
      <c r="E21" s="28">
        <f>E16</f>
        <v>2723.41</v>
      </c>
      <c r="F21" s="29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4.25" customHeight="1">
      <c r="A22" s="24"/>
      <c r="B22" s="42" t="s">
        <v>111</v>
      </c>
      <c r="C22" s="43"/>
      <c r="D22" s="118">
        <v>0.3</v>
      </c>
      <c r="E22" s="109">
        <f>E21*D22</f>
        <v>817.02299999999991</v>
      </c>
      <c r="F22" s="29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4.25" customHeight="1" thickBot="1">
      <c r="A23" s="24"/>
      <c r="B23" s="460" t="s">
        <v>7</v>
      </c>
      <c r="C23" s="461"/>
      <c r="D23" s="462"/>
      <c r="E23" s="116">
        <f>E22+E21</f>
        <v>3540.433</v>
      </c>
      <c r="F23" s="3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4.25" customHeight="1" thickBot="1"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14.25" customHeight="1" thickBot="1">
      <c r="B25" s="454" t="s">
        <v>8</v>
      </c>
      <c r="C25" s="455"/>
      <c r="D25" s="455"/>
      <c r="E25" s="456"/>
      <c r="F25" s="25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4.25" customHeight="1">
      <c r="B26" s="471" t="s">
        <v>9</v>
      </c>
      <c r="C26" s="472"/>
      <c r="D26" s="472"/>
      <c r="E26" s="473"/>
      <c r="F26" s="2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4.25" customHeight="1">
      <c r="B27" s="20" t="s">
        <v>10</v>
      </c>
      <c r="C27" s="26"/>
      <c r="D27" s="32">
        <f>' 44h de 2º a 6 feira'!D27</f>
        <v>8.3299999999999999E-2</v>
      </c>
      <c r="E27" s="33">
        <f>IF($E$23="","",D27*$E$23)</f>
        <v>294.91806889999998</v>
      </c>
      <c r="F27" s="3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4.25" customHeight="1">
      <c r="B28" s="296" t="s">
        <v>37</v>
      </c>
      <c r="C28" s="297"/>
      <c r="D28" s="32">
        <f>'ES Memória de Cálculo'!B6</f>
        <v>8.9300000000000004E-2</v>
      </c>
      <c r="E28" s="33">
        <f>IF($E$23="","",D28*$E$23)</f>
        <v>316.16066690000002</v>
      </c>
      <c r="F28" s="3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14.25" customHeight="1">
      <c r="B29" s="296" t="s">
        <v>277</v>
      </c>
      <c r="C29" s="297"/>
      <c r="D29" s="32">
        <f>supervisor!D29</f>
        <v>3.1699999999999999E-2</v>
      </c>
      <c r="E29" s="33">
        <f>IF($E$23="","",D29*$E$23)</f>
        <v>112.2317261</v>
      </c>
      <c r="F29" s="3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4.25" customHeight="1" thickBot="1">
      <c r="B30" s="469" t="s">
        <v>11</v>
      </c>
      <c r="C30" s="475"/>
      <c r="D30" s="470"/>
      <c r="E30" s="35">
        <f>IF(E23="","",SUM(E27:E29))</f>
        <v>723.31046190000006</v>
      </c>
      <c r="F30" s="3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4.25" customHeight="1">
      <c r="B31" s="471" t="s">
        <v>12</v>
      </c>
      <c r="C31" s="472"/>
      <c r="D31" s="472"/>
      <c r="E31" s="473"/>
      <c r="F31" s="2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4.25" customHeight="1">
      <c r="B32" s="20" t="s">
        <v>13</v>
      </c>
      <c r="C32" s="26"/>
      <c r="D32" s="32">
        <v>0.2</v>
      </c>
      <c r="E32" s="33">
        <f>IF($E$23="","",($E$23+$E$30)*D32)</f>
        <v>852.74869237999997</v>
      </c>
      <c r="F32" s="34"/>
      <c r="H32" s="1"/>
      <c r="I32" s="1"/>
      <c r="J32" s="1"/>
      <c r="K32" s="36"/>
      <c r="L32" s="1"/>
      <c r="M32" s="1"/>
      <c r="N32" s="1"/>
      <c r="O32" s="1"/>
      <c r="P32" s="1"/>
      <c r="Q32" s="1"/>
      <c r="R32" s="1"/>
      <c r="S32" s="1"/>
    </row>
    <row r="33" spans="2:19" ht="14.25" customHeight="1">
      <c r="B33" s="20" t="s">
        <v>14</v>
      </c>
      <c r="C33" s="26"/>
      <c r="D33" s="32">
        <v>1.4999999999999999E-2</v>
      </c>
      <c r="E33" s="33">
        <f t="shared" ref="E33:E39" si="0">IF($E$23="","",($E$23+$E$30)*D33)</f>
        <v>63.956151928499992</v>
      </c>
      <c r="F33" s="3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2:19" ht="14.25" customHeight="1">
      <c r="B34" s="20" t="s">
        <v>15</v>
      </c>
      <c r="C34" s="26"/>
      <c r="D34" s="32">
        <v>0.01</v>
      </c>
      <c r="E34" s="33">
        <f t="shared" si="0"/>
        <v>42.637434618999997</v>
      </c>
      <c r="F34" s="3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2:19" ht="14.25" customHeight="1">
      <c r="B35" s="20" t="s">
        <v>16</v>
      </c>
      <c r="C35" s="26"/>
      <c r="D35" s="32">
        <v>2E-3</v>
      </c>
      <c r="E35" s="33">
        <f t="shared" si="0"/>
        <v>8.5274869237999997</v>
      </c>
      <c r="F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2:19" ht="14.25" customHeight="1">
      <c r="B36" s="20" t="s">
        <v>17</v>
      </c>
      <c r="C36" s="26"/>
      <c r="D36" s="32">
        <v>2.5000000000000001E-2</v>
      </c>
      <c r="E36" s="33">
        <f t="shared" si="0"/>
        <v>106.5935865475</v>
      </c>
      <c r="F36" s="3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2:19" ht="14.25" customHeight="1">
      <c r="B37" s="20" t="s">
        <v>18</v>
      </c>
      <c r="C37" s="26"/>
      <c r="D37" s="32">
        <v>0.08</v>
      </c>
      <c r="E37" s="33">
        <f t="shared" si="0"/>
        <v>341.09947695199997</v>
      </c>
      <c r="F37" s="3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2:19" ht="14.25" customHeight="1">
      <c r="B38" s="20" t="s">
        <v>19</v>
      </c>
      <c r="C38" s="26"/>
      <c r="D38" s="37">
        <f>' 44h de 2º a 6 feira'!D38</f>
        <v>1.4999999999999999E-2</v>
      </c>
      <c r="E38" s="33">
        <f t="shared" si="0"/>
        <v>63.956151928499992</v>
      </c>
      <c r="F38" s="3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2:19" ht="14.25" customHeight="1">
      <c r="B39" s="20" t="s">
        <v>20</v>
      </c>
      <c r="C39" s="26"/>
      <c r="D39" s="32">
        <v>6.0000000000000001E-3</v>
      </c>
      <c r="E39" s="33">
        <f t="shared" si="0"/>
        <v>25.582460771399997</v>
      </c>
      <c r="F39" s="34"/>
      <c r="H39" s="450" t="s">
        <v>23</v>
      </c>
      <c r="I39" s="468">
        <v>15</v>
      </c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2:19" ht="14.25" customHeight="1" thickBot="1">
      <c r="B40" s="469" t="s">
        <v>21</v>
      </c>
      <c r="C40" s="470"/>
      <c r="D40" s="38">
        <f>SUM(D32:D39)</f>
        <v>0.35300000000000009</v>
      </c>
      <c r="E40" s="35">
        <f>IF(E23="","",SUM(E32:E39))</f>
        <v>1505.1014420507001</v>
      </c>
      <c r="F40" s="31"/>
      <c r="H40" s="450"/>
      <c r="I40" s="468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2:19" ht="14.25" customHeight="1">
      <c r="B41" s="471" t="s">
        <v>22</v>
      </c>
      <c r="C41" s="472"/>
      <c r="D41" s="472"/>
      <c r="E41" s="473"/>
      <c r="F41" s="23"/>
      <c r="H41" s="450"/>
      <c r="I41" s="468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2:19" ht="14.25" customHeight="1">
      <c r="B42" s="457" t="s">
        <v>24</v>
      </c>
      <c r="C42" s="458"/>
      <c r="D42" s="459"/>
      <c r="E42" s="142">
        <f>IF(E21="","",(I39*I42))</f>
        <v>696.33899999999994</v>
      </c>
      <c r="F42" s="34"/>
      <c r="H42" s="56" t="s">
        <v>72</v>
      </c>
      <c r="I42" s="114">
        <f>47.37-(47.37*2%)</f>
        <v>46.422599999999996</v>
      </c>
      <c r="J42" s="1"/>
      <c r="K42" s="115"/>
      <c r="L42" s="1"/>
      <c r="M42" s="1"/>
      <c r="N42" s="1"/>
      <c r="O42" s="1"/>
      <c r="P42" s="1"/>
      <c r="Q42" s="1"/>
      <c r="R42" s="1"/>
      <c r="S42" s="1"/>
    </row>
    <row r="43" spans="2:19" ht="14.25" customHeight="1">
      <c r="B43" s="457" t="s">
        <v>25</v>
      </c>
      <c r="C43" s="458"/>
      <c r="D43" s="459"/>
      <c r="E43" s="142">
        <f>((I39*I43)*2)-(E21*6%)</f>
        <v>1.5954000000000121</v>
      </c>
      <c r="F43" s="34"/>
      <c r="H43" s="56" t="s">
        <v>26</v>
      </c>
      <c r="I43" s="106">
        <v>5.5</v>
      </c>
      <c r="J43" s="1"/>
      <c r="K43" s="77"/>
      <c r="L43" s="1"/>
      <c r="M43" s="1"/>
      <c r="N43" s="1"/>
      <c r="O43" s="1"/>
      <c r="P43" s="1"/>
      <c r="Q43" s="1"/>
      <c r="R43" s="1"/>
      <c r="S43" s="1"/>
    </row>
    <row r="44" spans="2:19" ht="14.25" customHeight="1">
      <c r="B44" s="42" t="s">
        <v>188</v>
      </c>
      <c r="C44" s="43"/>
      <c r="D44" s="44"/>
      <c r="E44" s="155">
        <f>' 44h de 2º a 6 feira'!E44</f>
        <v>10</v>
      </c>
      <c r="F44" s="34"/>
      <c r="H44" s="56"/>
      <c r="I44" s="145"/>
      <c r="J44" s="1"/>
      <c r="K44" s="77"/>
      <c r="L44" s="1"/>
      <c r="M44" s="1"/>
      <c r="N44" s="1"/>
      <c r="O44" s="1"/>
      <c r="P44" s="1"/>
      <c r="Q44" s="1"/>
      <c r="R44" s="1"/>
      <c r="S44" s="1"/>
    </row>
    <row r="45" spans="2:19" ht="14.25" customHeight="1">
      <c r="B45" s="42"/>
      <c r="C45" s="43"/>
      <c r="D45" s="44"/>
      <c r="E45" s="142"/>
      <c r="F45" s="34"/>
      <c r="H45" s="56"/>
      <c r="I45" s="145"/>
      <c r="J45" s="1"/>
      <c r="K45" s="77"/>
      <c r="L45" s="1"/>
      <c r="M45" s="1"/>
      <c r="N45" s="1"/>
      <c r="O45" s="1"/>
      <c r="P45" s="1"/>
      <c r="Q45" s="1"/>
      <c r="R45" s="1"/>
      <c r="S45" s="1"/>
    </row>
    <row r="46" spans="2:19" ht="14.25" customHeight="1">
      <c r="B46" s="42"/>
      <c r="C46" s="43"/>
      <c r="D46" s="44"/>
      <c r="E46" s="142"/>
      <c r="F46" s="34"/>
      <c r="H46" s="56"/>
      <c r="I46" s="145"/>
      <c r="J46" s="1"/>
      <c r="K46" s="77"/>
      <c r="L46" s="1"/>
      <c r="M46" s="1"/>
      <c r="N46" s="1"/>
      <c r="O46" s="1"/>
      <c r="P46" s="1"/>
      <c r="Q46" s="1"/>
      <c r="R46" s="1"/>
      <c r="S46" s="1"/>
    </row>
    <row r="47" spans="2:19" ht="14.25" customHeight="1" thickBot="1">
      <c r="B47" s="469" t="s">
        <v>27</v>
      </c>
      <c r="C47" s="475"/>
      <c r="D47" s="470">
        <f>SUM(D42:D43)</f>
        <v>0</v>
      </c>
      <c r="E47" s="35">
        <f>IF(E23="","",SUM(E42:E45))</f>
        <v>707.93439999999998</v>
      </c>
      <c r="F47" s="31"/>
      <c r="H47" s="56"/>
      <c r="I47" s="57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2:19" ht="14.25" customHeight="1" thickBot="1">
      <c r="B48" s="460" t="s">
        <v>28</v>
      </c>
      <c r="C48" s="461"/>
      <c r="D48" s="462"/>
      <c r="E48" s="30">
        <f>IF(E23="","",E30+E40+E47)</f>
        <v>2936.3463039507005</v>
      </c>
      <c r="F48" s="31"/>
      <c r="H48" s="56"/>
      <c r="I48" s="57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2:19" ht="14.25" customHeight="1" thickBot="1">
      <c r="H49" s="56"/>
      <c r="I49" s="57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2:19" ht="14.25" customHeight="1" thickBot="1">
      <c r="B50" s="454" t="s">
        <v>29</v>
      </c>
      <c r="C50" s="455"/>
      <c r="D50" s="455"/>
      <c r="E50" s="456"/>
      <c r="F50" s="25"/>
      <c r="H50" s="56"/>
      <c r="I50" s="57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2:19" ht="14.25" customHeight="1">
      <c r="B51" s="20" t="s">
        <v>30</v>
      </c>
      <c r="C51" s="20"/>
      <c r="D51" s="32">
        <f>' 44h de 2º a 6 feira'!D50</f>
        <v>8.3333333333333328E-4</v>
      </c>
      <c r="E51" s="33">
        <f t="shared" ref="E51:E56" si="1">IF($E$23="","",D51*$E$23)</f>
        <v>2.9503608333333333</v>
      </c>
      <c r="F51" s="34"/>
      <c r="H51" s="450" t="s">
        <v>71</v>
      </c>
      <c r="I51" s="451">
        <v>5.5500000000000001E-2</v>
      </c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2:19" ht="14.25" customHeight="1">
      <c r="B52" s="20" t="s">
        <v>31</v>
      </c>
      <c r="C52" s="20"/>
      <c r="D52" s="32">
        <f>' 44h de 2º a 6 feira'!D51</f>
        <v>6.666666666666667E-5</v>
      </c>
      <c r="E52" s="33">
        <f t="shared" si="1"/>
        <v>0.23602886666666667</v>
      </c>
      <c r="F52" s="34"/>
      <c r="H52" s="450"/>
      <c r="I52" s="45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2:19" ht="14.25" customHeight="1">
      <c r="B53" s="20" t="s">
        <v>183</v>
      </c>
      <c r="C53" s="20"/>
      <c r="D53" s="178">
        <f>' 44h de 2º a 6 feira'!D52</f>
        <v>3.4000000000000002E-2</v>
      </c>
      <c r="E53" s="33">
        <f t="shared" si="1"/>
        <v>120.37472200000001</v>
      </c>
      <c r="F53" s="34"/>
      <c r="H53" s="450" t="s">
        <v>74</v>
      </c>
      <c r="I53" s="468">
        <v>0.9</v>
      </c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2:19" ht="14.25" customHeight="1">
      <c r="B54" s="20" t="s">
        <v>33</v>
      </c>
      <c r="C54" s="20"/>
      <c r="D54" s="32">
        <f>' 44h de 2º a 6 feira'!D53</f>
        <v>1.9444444444444446E-4</v>
      </c>
      <c r="E54" s="33">
        <f t="shared" si="1"/>
        <v>0.68841752777777787</v>
      </c>
      <c r="F54" s="34"/>
      <c r="H54" s="450"/>
      <c r="I54" s="468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2:19" ht="14.25" customHeight="1">
      <c r="B55" s="20" t="s">
        <v>34</v>
      </c>
      <c r="C55" s="26"/>
      <c r="D55" s="32">
        <f>' 44h de 2º a 6 feira'!D54</f>
        <v>6.8638888888888916E-5</v>
      </c>
      <c r="E55" s="33">
        <f t="shared" si="1"/>
        <v>0.24301138730555566</v>
      </c>
      <c r="F55" s="34"/>
      <c r="H55" s="450"/>
      <c r="I55" s="468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2:19" ht="14.25" customHeight="1">
      <c r="B56" s="20" t="s">
        <v>185</v>
      </c>
      <c r="C56" s="20"/>
      <c r="D56" s="178">
        <f>' 44h de 2º a 6 feira'!D55</f>
        <v>6.0000000000000001E-3</v>
      </c>
      <c r="E56" s="33">
        <f t="shared" si="1"/>
        <v>21.242598000000001</v>
      </c>
      <c r="F56" s="34"/>
      <c r="H56" s="56"/>
      <c r="I56" s="56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2:19" ht="14.25" customHeight="1" thickBot="1">
      <c r="B57" s="460" t="s">
        <v>35</v>
      </c>
      <c r="C57" s="461"/>
      <c r="D57" s="462"/>
      <c r="E57" s="30">
        <f>IF(E23="","",SUM(E51:E56))</f>
        <v>145.73513861508334</v>
      </c>
      <c r="F57" s="31"/>
      <c r="H57" s="56"/>
      <c r="I57" s="56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2:19" ht="14.25" customHeight="1" thickBot="1">
      <c r="H58" s="56"/>
      <c r="I58" s="56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2:19" ht="14.25" customHeight="1" thickBot="1">
      <c r="B59" s="454" t="s">
        <v>36</v>
      </c>
      <c r="C59" s="455"/>
      <c r="D59" s="455"/>
      <c r="E59" s="456"/>
      <c r="F59" s="25"/>
      <c r="H59" s="56"/>
      <c r="I59" s="56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2:19" ht="14.25" customHeight="1">
      <c r="B60" s="20" t="s">
        <v>37</v>
      </c>
      <c r="C60" s="26"/>
      <c r="D60" s="178">
        <f>' 44h de 2º a 6 feira'!D59</f>
        <v>0</v>
      </c>
      <c r="E60" s="33">
        <f>IF($E$23="","",D60*$E$23)</f>
        <v>0</v>
      </c>
      <c r="F60" s="34"/>
      <c r="H60" s="56"/>
      <c r="I60" s="56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2:19" ht="14.25" customHeight="1">
      <c r="B61" s="20" t="s">
        <v>38</v>
      </c>
      <c r="C61" s="26"/>
      <c r="D61" s="32">
        <f>' 44h de 2º a 6 feira'!D60</f>
        <v>1.6444444444444446E-4</v>
      </c>
      <c r="E61" s="33">
        <f>IF($E$23="","",D61*$E$23)</f>
        <v>0.58220453777777781</v>
      </c>
      <c r="F61" s="34"/>
      <c r="H61" s="56" t="s">
        <v>39</v>
      </c>
      <c r="I61" s="58">
        <v>5.96</v>
      </c>
      <c r="J61" s="1"/>
      <c r="K61" s="1"/>
      <c r="L61" s="474"/>
      <c r="M61" s="474"/>
      <c r="N61" s="1"/>
      <c r="O61" s="1"/>
      <c r="P61" s="1"/>
      <c r="Q61" s="1"/>
      <c r="R61" s="1"/>
      <c r="S61" s="1"/>
    </row>
    <row r="62" spans="2:19" ht="14.25" customHeight="1">
      <c r="B62" s="20" t="s">
        <v>40</v>
      </c>
      <c r="C62" s="26"/>
      <c r="D62" s="32">
        <f>' 44h de 2º a 6 feira'!D61</f>
        <v>2.0833333333333332E-4</v>
      </c>
      <c r="E62" s="33">
        <f>IF($E$23="","",D62*$E$23)</f>
        <v>0.73759020833333333</v>
      </c>
      <c r="F62" s="34"/>
      <c r="H62" s="56" t="s">
        <v>41</v>
      </c>
      <c r="I62" s="59">
        <v>1.4999999999999999E-2</v>
      </c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2:19" ht="14.25" customHeight="1">
      <c r="B63" s="20" t="s">
        <v>42</v>
      </c>
      <c r="C63" s="26"/>
      <c r="D63" s="32">
        <f>' 44h de 2º a 6 feira'!D62</f>
        <v>2.0833333333333332E-4</v>
      </c>
      <c r="E63" s="33">
        <f>IF($E$23="","",D63*$E$23)</f>
        <v>0.73759020833333333</v>
      </c>
      <c r="F63" s="34"/>
      <c r="H63" s="56" t="s">
        <v>73</v>
      </c>
      <c r="I63" s="59">
        <v>0.08</v>
      </c>
      <c r="J63" s="1"/>
      <c r="K63" s="72"/>
      <c r="L63" s="474"/>
      <c r="M63" s="474"/>
      <c r="N63" s="1"/>
      <c r="O63" s="1"/>
      <c r="P63" s="1"/>
      <c r="Q63" s="1"/>
      <c r="R63" s="1"/>
      <c r="S63" s="1"/>
    </row>
    <row r="64" spans="2:19" ht="14.25" customHeight="1">
      <c r="B64" s="20" t="s">
        <v>43</v>
      </c>
      <c r="C64" s="26"/>
      <c r="D64" s="32">
        <f>' 44h de 2º a 6 feira'!D63</f>
        <v>1.6180555555555555E-4</v>
      </c>
      <c r="E64" s="33">
        <f>IF($E$23="","",D64*$E$23)</f>
        <v>0.57286172847222216</v>
      </c>
      <c r="F64" s="34"/>
      <c r="H64" s="450" t="s">
        <v>44</v>
      </c>
      <c r="I64" s="451">
        <v>0.02</v>
      </c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2:19" ht="14.25" customHeight="1">
      <c r="B65" s="20" t="s">
        <v>45</v>
      </c>
      <c r="C65" s="26"/>
      <c r="D65" s="32"/>
      <c r="E65" s="33" t="s">
        <v>46</v>
      </c>
      <c r="F65" s="34"/>
      <c r="H65" s="450"/>
      <c r="I65" s="451"/>
      <c r="J65" s="1"/>
      <c r="K65" s="72"/>
      <c r="L65" s="1"/>
      <c r="M65" s="1"/>
      <c r="N65" s="1"/>
      <c r="O65" s="1"/>
      <c r="P65" s="1"/>
      <c r="Q65" s="1"/>
      <c r="R65" s="1"/>
      <c r="S65" s="1"/>
    </row>
    <row r="66" spans="2:19" ht="14.25" customHeight="1" thickBot="1">
      <c r="B66" s="469" t="s">
        <v>47</v>
      </c>
      <c r="C66" s="475"/>
      <c r="D66" s="470"/>
      <c r="E66" s="35">
        <f>IF(E23="","",SUM(E60:E65))</f>
        <v>2.6302466829166664</v>
      </c>
      <c r="F66" s="31"/>
      <c r="H66" s="450"/>
      <c r="I66" s="45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2:19" ht="14.25" customHeight="1" thickBot="1">
      <c r="B67" s="501" t="s">
        <v>48</v>
      </c>
      <c r="C67" s="502"/>
      <c r="D67" s="503">
        <f>SUM(D64:D66)</f>
        <v>1.6180555555555555E-4</v>
      </c>
      <c r="E67" s="39">
        <f>IF(E23="","",E66*D40)</f>
        <v>0.92847707906958343</v>
      </c>
      <c r="F67" s="3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2:19" ht="14.25" customHeight="1" thickBot="1">
      <c r="B68" s="465" t="s">
        <v>49</v>
      </c>
      <c r="C68" s="466"/>
      <c r="D68" s="467"/>
      <c r="E68" s="40">
        <f>IF(E23="","",E66+E67)</f>
        <v>3.5587237619862497</v>
      </c>
      <c r="F68" s="31"/>
      <c r="H68" s="4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2:19" ht="14.25" customHeight="1" thickBot="1">
      <c r="H69" s="4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2:19" ht="14.25" customHeight="1" thickBot="1">
      <c r="B70" s="454" t="s">
        <v>50</v>
      </c>
      <c r="C70" s="455"/>
      <c r="D70" s="455"/>
      <c r="E70" s="456"/>
      <c r="F70" s="25"/>
      <c r="H70" s="36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2:19" ht="14.25" customHeight="1">
      <c r="B71" s="457" t="s">
        <v>89</v>
      </c>
      <c r="C71" s="458"/>
      <c r="D71" s="459"/>
      <c r="E71" s="96">
        <f>Uniformes!H15</f>
        <v>35.333075000000001</v>
      </c>
      <c r="F71" s="29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2:19" ht="14.25" customHeight="1">
      <c r="B72" s="42" t="s">
        <v>51</v>
      </c>
      <c r="C72" s="43"/>
      <c r="D72" s="44"/>
      <c r="E72" s="179">
        <f>Equipamentos!H19+Equipamentos!H23</f>
        <v>3.71892625</v>
      </c>
      <c r="F72" s="29"/>
      <c r="H72" s="1"/>
      <c r="I72" s="1"/>
      <c r="J72" s="1"/>
      <c r="O72" s="1"/>
      <c r="P72" s="1"/>
      <c r="Q72" s="1"/>
      <c r="R72" s="1"/>
      <c r="S72" s="1"/>
    </row>
    <row r="73" spans="2:19" ht="14.25" customHeight="1" thickBot="1">
      <c r="B73" s="460" t="s">
        <v>52</v>
      </c>
      <c r="C73" s="461"/>
      <c r="D73" s="462"/>
      <c r="E73" s="30">
        <f>IF(E23="","",SUM(E71:E72))</f>
        <v>39.052001250000004</v>
      </c>
      <c r="F73" s="31"/>
      <c r="H73" s="1"/>
      <c r="I73" s="1"/>
      <c r="J73" s="1"/>
      <c r="O73" s="1"/>
      <c r="P73" s="1"/>
      <c r="Q73" s="1"/>
      <c r="R73" s="1"/>
      <c r="S73" s="1"/>
    </row>
    <row r="74" spans="2:19" ht="14.25" customHeight="1" thickBot="1">
      <c r="H74" s="1"/>
      <c r="I74" s="1"/>
      <c r="J74" s="1"/>
      <c r="O74" s="66"/>
      <c r="P74" s="1"/>
      <c r="Q74" s="1"/>
      <c r="R74" s="1"/>
      <c r="S74" s="1"/>
    </row>
    <row r="75" spans="2:19" ht="14.25" customHeight="1" thickBot="1">
      <c r="B75" s="454" t="s">
        <v>53</v>
      </c>
      <c r="C75" s="455"/>
      <c r="D75" s="455"/>
      <c r="E75" s="456"/>
      <c r="F75" s="25"/>
      <c r="H75" s="1"/>
      <c r="I75" s="1"/>
      <c r="J75" s="1"/>
      <c r="O75" s="66"/>
      <c r="P75" s="1"/>
      <c r="Q75" s="1"/>
      <c r="R75" s="1"/>
      <c r="S75" s="1"/>
    </row>
    <row r="76" spans="2:19" ht="14.25" customHeight="1" thickBot="1">
      <c r="B76" s="45" t="s">
        <v>54</v>
      </c>
      <c r="C76" s="46"/>
      <c r="D76" s="177">
        <v>9.7548489999999995E-3</v>
      </c>
      <c r="E76" s="47">
        <f>IF($E$23="","",($E$23+$E$48+$E$57+$E$68+$E$73)*$D$76)</f>
        <v>65.01728957582084</v>
      </c>
      <c r="F76" s="34"/>
      <c r="H76" s="1"/>
      <c r="I76" s="1"/>
      <c r="J76" s="1"/>
      <c r="O76" s="66"/>
      <c r="P76" s="1"/>
      <c r="Q76" s="1"/>
      <c r="R76" s="36"/>
      <c r="S76" s="1"/>
    </row>
    <row r="77" spans="2:19" ht="14.25" customHeight="1" thickBot="1">
      <c r="B77" s="48" t="s">
        <v>55</v>
      </c>
      <c r="C77" s="49"/>
      <c r="D77" s="156">
        <v>0.03</v>
      </c>
      <c r="E77" s="47">
        <f>IF($E$23="","",($D$77*($E$23+$E$48+$E$57+$E$68+$E$73+$E$76+$E$80)/(1-SUM($D$77:$D$79))))</f>
        <v>223.01194546036038</v>
      </c>
      <c r="F77" s="34"/>
      <c r="I77" s="1"/>
      <c r="J77" s="1"/>
      <c r="O77" s="66"/>
      <c r="P77" s="1"/>
      <c r="Q77" s="1"/>
      <c r="R77" s="1"/>
      <c r="S77" s="1"/>
    </row>
    <row r="78" spans="2:19" ht="14.25" customHeight="1" thickBot="1">
      <c r="B78" s="20" t="s">
        <v>56</v>
      </c>
      <c r="C78" s="26"/>
      <c r="D78" s="156">
        <v>6.4999999999999997E-3</v>
      </c>
      <c r="E78" s="47">
        <f>IF($E$23="","",($D$78*($E$23+$E$48+$E$57+$E$68+$E$73+$E$76+$E$80)/(1-SUM($D$77:$D$79))))</f>
        <v>48.319254849744745</v>
      </c>
      <c r="F78" s="34"/>
      <c r="H78" s="1"/>
      <c r="I78" s="1"/>
      <c r="J78" s="1"/>
      <c r="O78" s="66"/>
      <c r="P78" s="1"/>
      <c r="Q78" s="1"/>
      <c r="R78" s="36"/>
      <c r="S78" s="1"/>
    </row>
    <row r="79" spans="2:19" ht="14.25" customHeight="1" thickBot="1">
      <c r="B79" s="20" t="s">
        <v>57</v>
      </c>
      <c r="C79" s="26"/>
      <c r="D79" s="177">
        <v>0.05</v>
      </c>
      <c r="E79" s="47">
        <f>IF($E$23="","",($D$79*($E$23+$E$48+$E$57+$E$68+$E$73+$E$76+$E$80)/(1-SUM($D$77:$D$79))))</f>
        <v>371.6865757672673</v>
      </c>
      <c r="F79" s="34"/>
      <c r="H79" s="1"/>
      <c r="I79" s="1"/>
      <c r="J79" s="1"/>
      <c r="O79" s="66"/>
      <c r="P79" s="1"/>
      <c r="Q79" s="1"/>
      <c r="R79" s="36"/>
      <c r="S79" s="1"/>
    </row>
    <row r="80" spans="2:19" ht="14.25" customHeight="1" thickBot="1">
      <c r="B80" s="20" t="s">
        <v>58</v>
      </c>
      <c r="C80" s="26"/>
      <c r="D80" s="177">
        <v>8.9999999999999993E-3</v>
      </c>
      <c r="E80" s="47">
        <f>IF($E$23="","",($E$23+$E$48+$E$57+$E$68+$E$73+$E$76)*$D$80)</f>
        <v>60.571282114382313</v>
      </c>
      <c r="F80" s="34"/>
      <c r="H80" s="1"/>
      <c r="I80" s="1"/>
      <c r="J80" s="1"/>
      <c r="O80" s="66"/>
      <c r="P80" s="1"/>
      <c r="Q80" s="1"/>
      <c r="R80" s="36"/>
      <c r="S80" s="1"/>
    </row>
    <row r="81" spans="2:19" ht="14.25" customHeight="1" thickBot="1">
      <c r="B81" s="460" t="s">
        <v>59</v>
      </c>
      <c r="C81" s="461"/>
      <c r="D81" s="462"/>
      <c r="E81" s="50">
        <f>IF(E23="","",SUM($E$76:$E$80))</f>
        <v>768.60634776757547</v>
      </c>
      <c r="F81" s="31"/>
      <c r="H81" s="1"/>
      <c r="I81" s="1"/>
      <c r="J81" s="1"/>
      <c r="O81" s="66"/>
      <c r="P81" s="1"/>
      <c r="Q81" s="1"/>
      <c r="R81" s="36"/>
      <c r="S81" s="1"/>
    </row>
    <row r="82" spans="2:19" ht="14.25" customHeight="1" thickBot="1">
      <c r="H82" s="1"/>
      <c r="I82" s="1"/>
      <c r="O82" s="66"/>
      <c r="P82" s="1"/>
      <c r="Q82" s="1"/>
      <c r="R82" s="1"/>
      <c r="S82" s="1"/>
    </row>
    <row r="83" spans="2:19" ht="14.25" customHeight="1" thickBot="1">
      <c r="B83" s="463" t="s">
        <v>60</v>
      </c>
      <c r="C83" s="464"/>
      <c r="D83" s="464"/>
      <c r="E83" s="51">
        <f>E23+E48+E57+E68+E73+E81</f>
        <v>7433.7315153453455</v>
      </c>
      <c r="F83" s="31"/>
      <c r="H83" s="286"/>
      <c r="I83" s="286"/>
      <c r="J83" s="1"/>
      <c r="O83" s="66"/>
      <c r="P83" s="1"/>
      <c r="Q83" s="1"/>
      <c r="R83" s="1"/>
      <c r="S83" s="1"/>
    </row>
    <row r="84" spans="2:19" ht="14.25" customHeight="1" thickBot="1">
      <c r="H84" s="1"/>
      <c r="I84" s="41"/>
      <c r="L84" s="74"/>
      <c r="O84" s="67"/>
    </row>
    <row r="85" spans="2:19" ht="14.25" customHeight="1" thickBot="1">
      <c r="B85" s="452" t="s">
        <v>61</v>
      </c>
      <c r="C85" s="453"/>
      <c r="D85" s="453"/>
      <c r="E85" s="52">
        <f>E83*E12</f>
        <v>341951.64970588591</v>
      </c>
      <c r="F85" s="31"/>
      <c r="K85" s="75"/>
      <c r="O85" s="67"/>
    </row>
    <row r="86" spans="2:19" ht="14.25" customHeight="1">
      <c r="B86" s="2"/>
      <c r="C86" s="2"/>
      <c r="D86" s="53"/>
      <c r="E86" s="54"/>
      <c r="F86" s="55"/>
      <c r="G86" s="54"/>
      <c r="H86" s="54"/>
      <c r="K86" s="76"/>
      <c r="O86" s="67"/>
    </row>
    <row r="87" spans="2:19" ht="14.25" customHeight="1">
      <c r="B87" s="3" t="s">
        <v>62</v>
      </c>
      <c r="D87" s="180">
        <f>IF(E23="","-",E83/E23)</f>
        <v>2.0996673331610416</v>
      </c>
      <c r="E87" s="3" t="str">
        <f>IF(E23="","a ser calculado",IF(D87&lt;=2.7,"OK","Superior a 2,7 --- Reavaliar planilha"))</f>
        <v>OK</v>
      </c>
      <c r="K87" s="73"/>
      <c r="O87" s="67"/>
    </row>
    <row r="88" spans="2:19" ht="14.25" customHeight="1">
      <c r="B88" s="436" t="s">
        <v>181</v>
      </c>
      <c r="C88" s="436"/>
      <c r="D88" s="436"/>
      <c r="E88" s="436"/>
      <c r="O88" s="67"/>
    </row>
    <row r="89" spans="2:19" ht="14.25" customHeight="1">
      <c r="O89" s="67"/>
    </row>
    <row r="90" spans="2:19" ht="14.25" customHeight="1">
      <c r="O90" s="67"/>
    </row>
    <row r="91" spans="2:19" ht="14.25" customHeight="1">
      <c r="O91" s="67"/>
      <c r="P91" s="65"/>
    </row>
    <row r="92" spans="2:19" ht="14.25" customHeight="1">
      <c r="P92" s="65"/>
    </row>
    <row r="94" spans="2:19" ht="14.25" customHeight="1">
      <c r="L94" s="65"/>
    </row>
  </sheetData>
  <sheetProtection formatColumns="0" formatRows="0"/>
  <mergeCells count="50">
    <mergeCell ref="B88:E88"/>
    <mergeCell ref="L61:M61"/>
    <mergeCell ref="L63:M63"/>
    <mergeCell ref="B48:D48"/>
    <mergeCell ref="B85:D85"/>
    <mergeCell ref="B70:E70"/>
    <mergeCell ref="B71:D71"/>
    <mergeCell ref="B73:D73"/>
    <mergeCell ref="B75:E75"/>
    <mergeCell ref="B81:D81"/>
    <mergeCell ref="B83:D83"/>
    <mergeCell ref="B68:D68"/>
    <mergeCell ref="B50:E50"/>
    <mergeCell ref="B59:E59"/>
    <mergeCell ref="H51:H52"/>
    <mergeCell ref="I51:I52"/>
    <mergeCell ref="I53:I55"/>
    <mergeCell ref="B57:D57"/>
    <mergeCell ref="H64:H66"/>
    <mergeCell ref="I64:I66"/>
    <mergeCell ref="B66:D66"/>
    <mergeCell ref="B67:D67"/>
    <mergeCell ref="C18:D18"/>
    <mergeCell ref="B20:E20"/>
    <mergeCell ref="B43:D43"/>
    <mergeCell ref="H39:H41"/>
    <mergeCell ref="B42:D42"/>
    <mergeCell ref="B47:D47"/>
    <mergeCell ref="B23:D23"/>
    <mergeCell ref="H53:H55"/>
    <mergeCell ref="B10:E10"/>
    <mergeCell ref="I39:I41"/>
    <mergeCell ref="B40:C40"/>
    <mergeCell ref="B41:E41"/>
    <mergeCell ref="B25:E25"/>
    <mergeCell ref="B26:E26"/>
    <mergeCell ref="B30:D30"/>
    <mergeCell ref="B31:E31"/>
    <mergeCell ref="B11:C11"/>
    <mergeCell ref="B14:E14"/>
    <mergeCell ref="B12:C12"/>
    <mergeCell ref="C15:D15"/>
    <mergeCell ref="C16:D16"/>
    <mergeCell ref="C17:D17"/>
    <mergeCell ref="B6:D6"/>
    <mergeCell ref="B7:D7"/>
    <mergeCell ref="B8:D8"/>
    <mergeCell ref="B2:E2"/>
    <mergeCell ref="B4:E4"/>
    <mergeCell ref="B5:D5"/>
  </mergeCells>
  <dataValidations count="7">
    <dataValidation type="list" allowBlank="1" showInputMessage="1" showErrorMessage="1" sqref="H12">
      <formula1>$J$2:$J$3</formula1>
    </dataValidation>
    <dataValidation type="decimal" operator="lessThanOrEqual" allowBlank="1" showInputMessage="1" showErrorMessage="1" errorTitle="Valor inválido" error="Deve ser igual ou inferior a 5,96 (Ref.: IBGE)" sqref="I61">
      <formula1>5.96</formula1>
    </dataValidation>
    <dataValidation type="decimal" operator="lessThanOrEqual" allowBlank="1" showInputMessage="1" showErrorMessage="1" errorTitle="Valor inválido" error="Deve ser igual ou inferior a 5,55 (Ref.: TCU)" sqref="I51">
      <formula1>0.0555</formula1>
    </dataValidation>
    <dataValidation type="decimal" operator="lessThanOrEqual" allowBlank="1" showInputMessage="1" showErrorMessage="1" errorTitle="Valor inválido" error="Deve ser igual ou inferior a 1,50% (Ref.: IBGE)" sqref="I62">
      <formula1>0.015</formula1>
    </dataValidation>
    <dataValidation type="decimal" operator="lessThanOrEqual" allowBlank="1" showInputMessage="1" showErrorMessage="1" errorTitle="Valor inválido" error="Deve ser igual ou inferior a 8,00% (Ref.: IBGE)" sqref="I63">
      <formula1>0.08</formula1>
    </dataValidation>
    <dataValidation type="decimal" operator="lessThanOrEqual" allowBlank="1" showInputMessage="1" showErrorMessage="1" errorTitle="Valor inválido" error="Deve ser igual ou inferior a 2,00% (Ref.: IBGE)" sqref="I64">
      <formula1>0.02</formula1>
    </dataValidation>
    <dataValidation type="decimal" operator="lessThanOrEqual" allowBlank="1" showInputMessage="1" showErrorMessage="1" errorTitle="Valor inválido" error="Máximo aceito = 6%" sqref="D38">
      <formula1>0.06</formula1>
    </dataValidation>
  </dataValidations>
  <pageMargins left="0.25" right="0.25" top="0.75" bottom="0.75" header="0.3" footer="0.3"/>
  <pageSetup paperSize="9" scale="59" orientation="portrait" verticalDpi="0" r:id="rId1"/>
  <headerFooter>
    <oddHeader xml:space="preserve">&amp;C
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4"/>
  <sheetViews>
    <sheetView showGridLines="0" view="pageBreakPreview" zoomScale="90" zoomScaleNormal="100" zoomScaleSheetLayoutView="90" workbookViewId="0">
      <selection activeCell="E8" sqref="E8"/>
    </sheetView>
  </sheetViews>
  <sheetFormatPr defaultRowHeight="14.25" customHeight="1"/>
  <cols>
    <col min="1" max="1" width="1.7109375" style="18" customWidth="1"/>
    <col min="2" max="2" width="13.7109375" style="3" customWidth="1"/>
    <col min="3" max="3" width="59.42578125" style="3" customWidth="1"/>
    <col min="4" max="5" width="12.140625" style="3" customWidth="1"/>
    <col min="6" max="6" width="1.7109375" style="17" customWidth="1"/>
    <col min="7" max="7" width="1.7109375" style="18" customWidth="1"/>
    <col min="8" max="8" width="18.28515625" style="18" customWidth="1"/>
    <col min="9" max="9" width="16.140625" style="18" customWidth="1"/>
    <col min="10" max="10" width="9.140625" style="18" hidden="1" customWidth="1"/>
    <col min="11" max="11" width="17.7109375" style="18" customWidth="1"/>
    <col min="12" max="12" width="11.5703125" style="18" bestFit="1" customWidth="1"/>
    <col min="13" max="13" width="11.42578125" style="18" bestFit="1" customWidth="1"/>
    <col min="14" max="15" width="9.140625" style="18"/>
    <col min="16" max="16" width="10.5703125" style="18" bestFit="1" customWidth="1"/>
    <col min="17" max="17" width="13.140625" style="18" customWidth="1"/>
    <col min="18" max="16384" width="9.140625" style="18"/>
  </cols>
  <sheetData>
    <row r="1" spans="2:19" ht="14.25" customHeight="1" thickBot="1"/>
    <row r="2" spans="2:19" s="3" customFormat="1" ht="22.5" customHeight="1" thickBot="1">
      <c r="B2" s="482" t="s">
        <v>84</v>
      </c>
      <c r="C2" s="483"/>
      <c r="D2" s="483"/>
      <c r="E2" s="484"/>
      <c r="G2" s="19"/>
      <c r="J2" s="19" t="s">
        <v>0</v>
      </c>
    </row>
    <row r="3" spans="2:19" ht="14.25" customHeight="1" thickBot="1">
      <c r="J3" s="19" t="s">
        <v>1</v>
      </c>
    </row>
    <row r="4" spans="2:19" ht="14.25" customHeight="1">
      <c r="B4" s="485" t="s">
        <v>63</v>
      </c>
      <c r="C4" s="486"/>
      <c r="D4" s="486"/>
      <c r="E4" s="487"/>
      <c r="J4" s="19"/>
    </row>
    <row r="5" spans="2:19" ht="14.25" customHeight="1">
      <c r="B5" s="488" t="s">
        <v>75</v>
      </c>
      <c r="C5" s="489"/>
      <c r="D5" s="490"/>
      <c r="E5" s="63"/>
      <c r="J5" s="19"/>
    </row>
    <row r="6" spans="2:19" ht="14.25" customHeight="1">
      <c r="B6" s="457" t="s">
        <v>76</v>
      </c>
      <c r="C6" s="458"/>
      <c r="D6" s="459"/>
      <c r="E6" s="9" t="s">
        <v>83</v>
      </c>
      <c r="J6" s="19"/>
    </row>
    <row r="7" spans="2:19" ht="14.25" customHeight="1">
      <c r="B7" s="457" t="s">
        <v>77</v>
      </c>
      <c r="C7" s="458"/>
      <c r="D7" s="459"/>
      <c r="E7" s="9">
        <v>2024</v>
      </c>
      <c r="J7" s="19"/>
    </row>
    <row r="8" spans="2:19" ht="14.25" customHeight="1" thickBot="1">
      <c r="B8" s="479" t="s">
        <v>78</v>
      </c>
      <c r="C8" s="480"/>
      <c r="D8" s="481"/>
      <c r="E8" s="7">
        <v>12</v>
      </c>
      <c r="J8" s="19"/>
    </row>
    <row r="9" spans="2:19" ht="14.25" customHeight="1" thickBot="1">
      <c r="J9" s="19"/>
    </row>
    <row r="10" spans="2:19" ht="14.25" customHeight="1" thickBot="1">
      <c r="B10" s="485" t="s">
        <v>65</v>
      </c>
      <c r="C10" s="486"/>
      <c r="D10" s="486"/>
      <c r="E10" s="487"/>
      <c r="J10" s="19"/>
    </row>
    <row r="11" spans="2:19" s="174" customFormat="1" ht="33" customHeight="1" thickBot="1">
      <c r="B11" s="491" t="s">
        <v>2</v>
      </c>
      <c r="C11" s="492"/>
      <c r="D11" s="172" t="s">
        <v>3</v>
      </c>
      <c r="E11" s="11" t="s">
        <v>4</v>
      </c>
      <c r="F11" s="12"/>
      <c r="H11" s="13" t="s">
        <v>64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2:19" ht="14.25" customHeight="1" thickBot="1">
      <c r="B12" s="493" t="s">
        <v>189</v>
      </c>
      <c r="C12" s="494"/>
      <c r="D12" s="14" t="s">
        <v>94</v>
      </c>
      <c r="E12" s="15">
        <v>2</v>
      </c>
      <c r="F12" s="21"/>
      <c r="H12" s="16" t="s"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2:19" ht="14.25" customHeight="1" thickBot="1">
      <c r="B13" s="22"/>
      <c r="C13" s="22"/>
      <c r="D13" s="22"/>
      <c r="E13" s="22"/>
      <c r="F13" s="2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2:19" ht="14.25" customHeight="1">
      <c r="B14" s="485" t="s">
        <v>70</v>
      </c>
      <c r="C14" s="486"/>
      <c r="D14" s="486"/>
      <c r="E14" s="487"/>
      <c r="F14" s="2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2:19" ht="14.25" customHeight="1">
      <c r="B15" s="5">
        <v>1</v>
      </c>
      <c r="C15" s="495" t="s">
        <v>66</v>
      </c>
      <c r="D15" s="496"/>
      <c r="E15" s="8"/>
      <c r="F15" s="2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2:19" ht="14.25" customHeight="1">
      <c r="B16" s="6">
        <v>2</v>
      </c>
      <c r="C16" s="497" t="s">
        <v>67</v>
      </c>
      <c r="D16" s="498"/>
      <c r="E16" s="80">
        <f>supervisor!E16</f>
        <v>3266.67</v>
      </c>
      <c r="F16" s="2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14.25" customHeight="1">
      <c r="B17" s="6">
        <v>3</v>
      </c>
      <c r="C17" s="497" t="s">
        <v>68</v>
      </c>
      <c r="D17" s="498"/>
      <c r="E17" s="9" t="s">
        <v>112</v>
      </c>
      <c r="F17" s="2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4.25" customHeight="1" thickBot="1">
      <c r="B18" s="4">
        <v>4</v>
      </c>
      <c r="C18" s="499" t="s">
        <v>69</v>
      </c>
      <c r="D18" s="500"/>
      <c r="E18" s="64">
        <v>45292</v>
      </c>
      <c r="F18" s="2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 thickBot="1">
      <c r="B19" s="22"/>
      <c r="C19" s="22"/>
      <c r="D19" s="22"/>
      <c r="E19" s="22"/>
      <c r="F19" s="23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24"/>
      <c r="B20" s="476" t="s">
        <v>5</v>
      </c>
      <c r="C20" s="477"/>
      <c r="D20" s="477"/>
      <c r="E20" s="478"/>
      <c r="F20" s="25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4.25" customHeight="1">
      <c r="A21" s="24"/>
      <c r="B21" s="170" t="s">
        <v>6</v>
      </c>
      <c r="C21" s="171"/>
      <c r="D21" s="27"/>
      <c r="E21" s="28">
        <f>E16</f>
        <v>3266.67</v>
      </c>
      <c r="F21" s="29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4.25" customHeight="1">
      <c r="A22" s="24"/>
      <c r="B22" s="42" t="s">
        <v>111</v>
      </c>
      <c r="C22" s="43"/>
      <c r="D22" s="118">
        <v>0.3</v>
      </c>
      <c r="E22" s="109">
        <f>E21*D22</f>
        <v>980.00099999999998</v>
      </c>
      <c r="F22" s="29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4.25" customHeight="1" thickBot="1">
      <c r="A23" s="24"/>
      <c r="B23" s="460" t="s">
        <v>7</v>
      </c>
      <c r="C23" s="461"/>
      <c r="D23" s="462"/>
      <c r="E23" s="116">
        <f>E22+E21</f>
        <v>4246.6710000000003</v>
      </c>
      <c r="F23" s="3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4.25" customHeight="1" thickBot="1"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14.25" customHeight="1" thickBot="1">
      <c r="B25" s="454" t="s">
        <v>8</v>
      </c>
      <c r="C25" s="455"/>
      <c r="D25" s="455"/>
      <c r="E25" s="456"/>
      <c r="F25" s="25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4.25" customHeight="1">
      <c r="B26" s="471" t="s">
        <v>9</v>
      </c>
      <c r="C26" s="472"/>
      <c r="D26" s="472"/>
      <c r="E26" s="473"/>
      <c r="F26" s="23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4.25" customHeight="1">
      <c r="B27" s="170" t="s">
        <v>10</v>
      </c>
      <c r="C27" s="171"/>
      <c r="D27" s="32">
        <f>'Desarmada - Diurna 12 x36 hs'!D27</f>
        <v>8.3299999999999999E-2</v>
      </c>
      <c r="E27" s="33">
        <f>IF($E$23="","",D27*$E$23)</f>
        <v>353.74769430000003</v>
      </c>
      <c r="F27" s="3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4.25" customHeight="1">
      <c r="B28" s="296" t="s">
        <v>37</v>
      </c>
      <c r="C28" s="297"/>
      <c r="D28" s="32">
        <f>'ES Memória de Cálculo'!B6</f>
        <v>8.9300000000000004E-2</v>
      </c>
      <c r="E28" s="33">
        <f>IF($E$23="","",D28*$E$23)</f>
        <v>379.22772030000004</v>
      </c>
      <c r="F28" s="3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14.25" customHeight="1">
      <c r="B29" s="296" t="s">
        <v>277</v>
      </c>
      <c r="C29" s="297"/>
      <c r="D29" s="32">
        <f>supervisor!D29</f>
        <v>3.1699999999999999E-2</v>
      </c>
      <c r="E29" s="33">
        <f>IF($E$23="","",D29*$E$23)</f>
        <v>134.61947069999999</v>
      </c>
      <c r="F29" s="3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4.25" customHeight="1" thickBot="1">
      <c r="B30" s="469" t="s">
        <v>11</v>
      </c>
      <c r="C30" s="475"/>
      <c r="D30" s="470"/>
      <c r="E30" s="35">
        <f>IF(E23="","",SUM(E27:E29))</f>
        <v>867.59488529999999</v>
      </c>
      <c r="F30" s="3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4.25" customHeight="1">
      <c r="B31" s="471" t="s">
        <v>12</v>
      </c>
      <c r="C31" s="472"/>
      <c r="D31" s="472"/>
      <c r="E31" s="473"/>
      <c r="F31" s="2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4.25" customHeight="1">
      <c r="B32" s="170" t="s">
        <v>13</v>
      </c>
      <c r="C32" s="171"/>
      <c r="D32" s="32">
        <v>0.2</v>
      </c>
      <c r="E32" s="33">
        <f>IF($E$23="","",($E$23+$E$30)*D32)</f>
        <v>1022.8531770600001</v>
      </c>
      <c r="F32" s="34"/>
      <c r="H32" s="1"/>
      <c r="I32" s="1"/>
      <c r="J32" s="1"/>
      <c r="K32" s="36"/>
      <c r="L32" s="1"/>
      <c r="M32" s="1"/>
      <c r="N32" s="1"/>
      <c r="O32" s="1"/>
      <c r="P32" s="1"/>
      <c r="Q32" s="1"/>
      <c r="R32" s="1"/>
      <c r="S32" s="1"/>
    </row>
    <row r="33" spans="2:19" ht="14.25" customHeight="1">
      <c r="B33" s="170" t="s">
        <v>14</v>
      </c>
      <c r="C33" s="171"/>
      <c r="D33" s="32">
        <v>1.4999999999999999E-2</v>
      </c>
      <c r="E33" s="33">
        <f t="shared" ref="E33:E39" si="0">IF($E$23="","",($E$23+$E$30)*D33)</f>
        <v>76.713988279500001</v>
      </c>
      <c r="F33" s="3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2:19" ht="14.25" customHeight="1">
      <c r="B34" s="170" t="s">
        <v>15</v>
      </c>
      <c r="C34" s="171"/>
      <c r="D34" s="32">
        <v>0.01</v>
      </c>
      <c r="E34" s="33">
        <f t="shared" si="0"/>
        <v>51.142658853</v>
      </c>
      <c r="F34" s="3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2:19" ht="14.25" customHeight="1">
      <c r="B35" s="170" t="s">
        <v>16</v>
      </c>
      <c r="C35" s="171"/>
      <c r="D35" s="32">
        <v>2E-3</v>
      </c>
      <c r="E35" s="33">
        <f t="shared" si="0"/>
        <v>10.2285317706</v>
      </c>
      <c r="F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2:19" ht="14.25" customHeight="1">
      <c r="B36" s="170" t="s">
        <v>17</v>
      </c>
      <c r="C36" s="171"/>
      <c r="D36" s="32">
        <v>2.5000000000000001E-2</v>
      </c>
      <c r="E36" s="33">
        <f t="shared" si="0"/>
        <v>127.85664713250002</v>
      </c>
      <c r="F36" s="3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2:19" ht="14.25" customHeight="1">
      <c r="B37" s="170" t="s">
        <v>18</v>
      </c>
      <c r="C37" s="171"/>
      <c r="D37" s="32">
        <v>0.08</v>
      </c>
      <c r="E37" s="33">
        <f t="shared" si="0"/>
        <v>409.141270824</v>
      </c>
      <c r="F37" s="3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2:19" ht="14.25" customHeight="1">
      <c r="B38" s="170" t="s">
        <v>19</v>
      </c>
      <c r="C38" s="171"/>
      <c r="D38" s="37">
        <f>'Desarmada - Diurna 12 x36 hs'!D38</f>
        <v>1.4999999999999999E-2</v>
      </c>
      <c r="E38" s="33">
        <f t="shared" si="0"/>
        <v>76.713988279500001</v>
      </c>
      <c r="F38" s="3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2:19" ht="14.25" customHeight="1">
      <c r="B39" s="170" t="s">
        <v>20</v>
      </c>
      <c r="C39" s="171"/>
      <c r="D39" s="32">
        <v>6.0000000000000001E-3</v>
      </c>
      <c r="E39" s="33">
        <f t="shared" si="0"/>
        <v>30.685595311800004</v>
      </c>
      <c r="F39" s="34"/>
      <c r="H39" s="450" t="s">
        <v>23</v>
      </c>
      <c r="I39" s="468">
        <v>15</v>
      </c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2:19" ht="14.25" customHeight="1" thickBot="1">
      <c r="B40" s="469" t="s">
        <v>21</v>
      </c>
      <c r="C40" s="470"/>
      <c r="D40" s="38">
        <f>SUM(D32:D39)</f>
        <v>0.35300000000000009</v>
      </c>
      <c r="E40" s="35">
        <f>IF(E23="","",SUM(E32:E39))</f>
        <v>1805.3358575109003</v>
      </c>
      <c r="F40" s="31"/>
      <c r="H40" s="450"/>
      <c r="I40" s="468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2:19" ht="14.25" customHeight="1">
      <c r="B41" s="471" t="s">
        <v>22</v>
      </c>
      <c r="C41" s="472"/>
      <c r="D41" s="472"/>
      <c r="E41" s="473"/>
      <c r="F41" s="23"/>
      <c r="H41" s="450"/>
      <c r="I41" s="468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2:19" ht="14.25" customHeight="1">
      <c r="B42" s="457" t="s">
        <v>24</v>
      </c>
      <c r="C42" s="458"/>
      <c r="D42" s="459"/>
      <c r="E42" s="142">
        <f>IF(E21="","",(I39*I42))</f>
        <v>696.33899999999994</v>
      </c>
      <c r="F42" s="34"/>
      <c r="H42" s="56" t="s">
        <v>72</v>
      </c>
      <c r="I42" s="114">
        <f>47.37-(47.37*2%)</f>
        <v>46.422599999999996</v>
      </c>
      <c r="J42" s="1"/>
      <c r="K42" s="115"/>
      <c r="L42" s="1"/>
      <c r="M42" s="1"/>
      <c r="N42" s="1"/>
      <c r="O42" s="1"/>
      <c r="P42" s="1"/>
      <c r="Q42" s="1"/>
      <c r="R42" s="1"/>
      <c r="S42" s="1"/>
    </row>
    <row r="43" spans="2:19" ht="14.25" customHeight="1">
      <c r="B43" s="457" t="s">
        <v>25</v>
      </c>
      <c r="C43" s="458"/>
      <c r="D43" s="459"/>
      <c r="E43" s="142">
        <v>0</v>
      </c>
      <c r="F43" s="34"/>
      <c r="H43" s="56" t="s">
        <v>26</v>
      </c>
      <c r="I43" s="173">
        <v>5.5</v>
      </c>
      <c r="J43" s="1"/>
      <c r="K43" s="77"/>
      <c r="L43" s="1"/>
      <c r="M43" s="1"/>
      <c r="N43" s="1"/>
      <c r="O43" s="1"/>
      <c r="P43" s="1"/>
      <c r="Q43" s="1"/>
      <c r="R43" s="1"/>
      <c r="S43" s="1"/>
    </row>
    <row r="44" spans="2:19" ht="14.25" customHeight="1">
      <c r="B44" s="42" t="s">
        <v>188</v>
      </c>
      <c r="C44" s="43"/>
      <c r="D44" s="44"/>
      <c r="E44" s="155">
        <f>'Desarmada - Diurna 12 x36 hs'!E44</f>
        <v>10</v>
      </c>
      <c r="F44" s="34"/>
      <c r="H44" s="56"/>
      <c r="I44" s="173"/>
      <c r="J44" s="1"/>
      <c r="K44" s="77"/>
      <c r="L44" s="1"/>
      <c r="M44" s="1"/>
      <c r="N44" s="1"/>
      <c r="O44" s="1"/>
      <c r="P44" s="1"/>
      <c r="Q44" s="1"/>
      <c r="R44" s="1"/>
      <c r="S44" s="1"/>
    </row>
    <row r="45" spans="2:19" ht="14.25" customHeight="1">
      <c r="B45" s="42"/>
      <c r="C45" s="43"/>
      <c r="D45" s="44"/>
      <c r="E45" s="142"/>
      <c r="F45" s="34"/>
      <c r="H45" s="56"/>
      <c r="I45" s="173"/>
      <c r="J45" s="1"/>
      <c r="K45" s="77"/>
      <c r="L45" s="1"/>
      <c r="M45" s="1"/>
      <c r="N45" s="1"/>
      <c r="O45" s="1"/>
      <c r="P45" s="1"/>
      <c r="Q45" s="1"/>
      <c r="R45" s="1"/>
      <c r="S45" s="1"/>
    </row>
    <row r="46" spans="2:19" ht="14.25" customHeight="1">
      <c r="B46" s="42"/>
      <c r="C46" s="43"/>
      <c r="D46" s="44"/>
      <c r="E46" s="142"/>
      <c r="F46" s="34"/>
      <c r="H46" s="56"/>
      <c r="I46" s="173"/>
      <c r="J46" s="1"/>
      <c r="K46" s="77"/>
      <c r="L46" s="1"/>
      <c r="M46" s="1"/>
      <c r="N46" s="1"/>
      <c r="O46" s="1"/>
      <c r="P46" s="1"/>
      <c r="Q46" s="1"/>
      <c r="R46" s="1"/>
      <c r="S46" s="1"/>
    </row>
    <row r="47" spans="2:19" ht="14.25" customHeight="1" thickBot="1">
      <c r="B47" s="469" t="s">
        <v>27</v>
      </c>
      <c r="C47" s="475"/>
      <c r="D47" s="470">
        <f>SUM(D42:D43)</f>
        <v>0</v>
      </c>
      <c r="E47" s="35">
        <f>IF(E23="","",SUM(E42:E45))</f>
        <v>706.33899999999994</v>
      </c>
      <c r="F47" s="31"/>
      <c r="H47" s="56"/>
      <c r="I47" s="57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2:19" ht="14.25" customHeight="1" thickBot="1">
      <c r="B48" s="460" t="s">
        <v>28</v>
      </c>
      <c r="C48" s="461"/>
      <c r="D48" s="462"/>
      <c r="E48" s="30">
        <f>IF(E23="","",E30+E40+E47)</f>
        <v>3379.2697428109004</v>
      </c>
      <c r="F48" s="31"/>
      <c r="H48" s="56"/>
      <c r="I48" s="57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2:19" ht="14.25" customHeight="1" thickBot="1">
      <c r="H49" s="56"/>
      <c r="I49" s="57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2:19" ht="14.25" customHeight="1" thickBot="1">
      <c r="B50" s="454" t="s">
        <v>29</v>
      </c>
      <c r="C50" s="455"/>
      <c r="D50" s="455"/>
      <c r="E50" s="456"/>
      <c r="F50" s="25"/>
      <c r="H50" s="56"/>
      <c r="I50" s="57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2:19" ht="14.25" customHeight="1">
      <c r="B51" s="170" t="s">
        <v>30</v>
      </c>
      <c r="C51" s="170"/>
      <c r="D51" s="32">
        <f>'Desarmada - Diurna 12 x36 hs'!D51</f>
        <v>8.3333333333333328E-4</v>
      </c>
      <c r="E51" s="33">
        <f t="shared" ref="E51:E56" si="1">IF($E$23="","",D51*$E$23)</f>
        <v>3.5388925000000002</v>
      </c>
      <c r="F51" s="34"/>
      <c r="H51" s="450" t="s">
        <v>71</v>
      </c>
      <c r="I51" s="451">
        <v>5.5500000000000001E-2</v>
      </c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2:19" ht="14.25" customHeight="1">
      <c r="B52" s="170" t="s">
        <v>31</v>
      </c>
      <c r="C52" s="170"/>
      <c r="D52" s="32">
        <f>'Desarmada - Diurna 12 x36 hs'!D52</f>
        <v>6.666666666666667E-5</v>
      </c>
      <c r="E52" s="33">
        <f t="shared" si="1"/>
        <v>0.28311140000000001</v>
      </c>
      <c r="F52" s="34"/>
      <c r="H52" s="450"/>
      <c r="I52" s="45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2:19" ht="14.25" customHeight="1">
      <c r="B53" s="170" t="s">
        <v>183</v>
      </c>
      <c r="C53" s="170"/>
      <c r="D53" s="178">
        <f>'Desarmada - Diurna 12 x36 hs'!D53</f>
        <v>3.4000000000000002E-2</v>
      </c>
      <c r="E53" s="33">
        <f t="shared" si="1"/>
        <v>144.38681400000002</v>
      </c>
      <c r="F53" s="34"/>
      <c r="H53" s="450" t="s">
        <v>74</v>
      </c>
      <c r="I53" s="468">
        <v>0.9</v>
      </c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2:19" ht="14.25" customHeight="1">
      <c r="B54" s="170" t="s">
        <v>33</v>
      </c>
      <c r="C54" s="170"/>
      <c r="D54" s="32">
        <f>'Desarmada - Diurna 12 x36 hs'!D54</f>
        <v>1.9444444444444446E-4</v>
      </c>
      <c r="E54" s="33">
        <f t="shared" si="1"/>
        <v>0.82574158333333347</v>
      </c>
      <c r="F54" s="34"/>
      <c r="H54" s="450"/>
      <c r="I54" s="468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2:19" ht="14.25" customHeight="1">
      <c r="B55" s="170" t="s">
        <v>34</v>
      </c>
      <c r="C55" s="171"/>
      <c r="D55" s="32">
        <f>'Desarmada - Diurna 12 x36 hs'!D55</f>
        <v>6.8638888888888916E-5</v>
      </c>
      <c r="E55" s="33">
        <f t="shared" si="1"/>
        <v>0.2914867789166668</v>
      </c>
      <c r="F55" s="34"/>
      <c r="H55" s="450"/>
      <c r="I55" s="468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2:19" ht="14.25" customHeight="1">
      <c r="B56" s="170" t="s">
        <v>185</v>
      </c>
      <c r="C56" s="170"/>
      <c r="D56" s="178">
        <f>'Desarmada - Diurna 12 x36 hs'!D56</f>
        <v>6.0000000000000001E-3</v>
      </c>
      <c r="E56" s="33">
        <f t="shared" si="1"/>
        <v>25.480026000000002</v>
      </c>
      <c r="F56" s="34"/>
      <c r="H56" s="56"/>
      <c r="I56" s="56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2:19" ht="14.25" customHeight="1" thickBot="1">
      <c r="B57" s="460" t="s">
        <v>35</v>
      </c>
      <c r="C57" s="461"/>
      <c r="D57" s="462"/>
      <c r="E57" s="30">
        <f>IF(E23="","",SUM(E51:E56))</f>
        <v>174.80607226225001</v>
      </c>
      <c r="F57" s="31"/>
      <c r="H57" s="56"/>
      <c r="I57" s="56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2:19" ht="14.25" customHeight="1" thickBot="1">
      <c r="H58" s="56"/>
      <c r="I58" s="56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2:19" ht="14.25" customHeight="1" thickBot="1">
      <c r="B59" s="454" t="s">
        <v>36</v>
      </c>
      <c r="C59" s="455"/>
      <c r="D59" s="455"/>
      <c r="E59" s="456"/>
      <c r="F59" s="25"/>
      <c r="H59" s="56"/>
      <c r="I59" s="56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2:19" ht="14.25" customHeight="1">
      <c r="B60" s="170" t="s">
        <v>37</v>
      </c>
      <c r="C60" s="171"/>
      <c r="D60" s="178">
        <f>'Desarmada - Diurna 12 x36 hs'!D60</f>
        <v>0</v>
      </c>
      <c r="E60" s="33">
        <f>IF($E$23="","",D60*$E$23)</f>
        <v>0</v>
      </c>
      <c r="F60" s="34"/>
      <c r="H60" s="56"/>
      <c r="I60" s="56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2:19" ht="14.25" customHeight="1">
      <c r="B61" s="170" t="s">
        <v>38</v>
      </c>
      <c r="C61" s="171"/>
      <c r="D61" s="32">
        <f>'Desarmada - Diurna 12 x36 hs'!D61</f>
        <v>1.6444444444444446E-4</v>
      </c>
      <c r="E61" s="33">
        <f>IF($E$23="","",D61*$E$23)</f>
        <v>0.69834145333333342</v>
      </c>
      <c r="F61" s="34"/>
      <c r="H61" s="56" t="s">
        <v>39</v>
      </c>
      <c r="I61" s="173">
        <v>5.96</v>
      </c>
      <c r="J61" s="1"/>
      <c r="K61" s="1"/>
      <c r="L61" s="474"/>
      <c r="M61" s="474"/>
      <c r="N61" s="1"/>
      <c r="O61" s="1"/>
      <c r="P61" s="1"/>
      <c r="Q61" s="1"/>
      <c r="R61" s="1"/>
      <c r="S61" s="1"/>
    </row>
    <row r="62" spans="2:19" ht="14.25" customHeight="1">
      <c r="B62" s="170" t="s">
        <v>40</v>
      </c>
      <c r="C62" s="171"/>
      <c r="D62" s="32">
        <f>((5/30)/12)*I62</f>
        <v>2.0833333333333332E-4</v>
      </c>
      <c r="E62" s="33">
        <f>IF($E$23="","",D62*$E$23)</f>
        <v>0.88472312500000005</v>
      </c>
      <c r="F62" s="34"/>
      <c r="H62" s="56" t="s">
        <v>41</v>
      </c>
      <c r="I62" s="175">
        <v>1.4999999999999999E-2</v>
      </c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2:19" ht="14.25" customHeight="1">
      <c r="B63" s="170" t="s">
        <v>42</v>
      </c>
      <c r="C63" s="171"/>
      <c r="D63" s="32">
        <f>'Desarmada - Diurna 12 x36 hs'!D63</f>
        <v>2.0833333333333332E-4</v>
      </c>
      <c r="E63" s="33">
        <f>IF($E$23="","",D63*$E$23)</f>
        <v>0.88472312500000005</v>
      </c>
      <c r="F63" s="34"/>
      <c r="H63" s="56" t="s">
        <v>73</v>
      </c>
      <c r="I63" s="175">
        <v>0.08</v>
      </c>
      <c r="J63" s="1"/>
      <c r="K63" s="72"/>
      <c r="L63" s="474"/>
      <c r="M63" s="474"/>
      <c r="N63" s="1"/>
      <c r="O63" s="1"/>
      <c r="P63" s="1"/>
      <c r="Q63" s="1"/>
      <c r="R63" s="1"/>
      <c r="S63" s="1"/>
    </row>
    <row r="64" spans="2:19" ht="14.25" customHeight="1">
      <c r="B64" s="170" t="s">
        <v>43</v>
      </c>
      <c r="C64" s="171"/>
      <c r="D64" s="32">
        <f>'Desarmada - Diurna 12 x36 hs'!D64</f>
        <v>1.6180555555555555E-4</v>
      </c>
      <c r="E64" s="33">
        <f>IF($E$23="","",D64*$E$23)</f>
        <v>0.68713496041666666</v>
      </c>
      <c r="F64" s="34"/>
      <c r="H64" s="450" t="s">
        <v>44</v>
      </c>
      <c r="I64" s="451">
        <v>0.02</v>
      </c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2:19" ht="14.25" customHeight="1">
      <c r="B65" s="170" t="s">
        <v>45</v>
      </c>
      <c r="C65" s="171"/>
      <c r="D65" s="32"/>
      <c r="E65" s="33" t="s">
        <v>46</v>
      </c>
      <c r="F65" s="34"/>
      <c r="H65" s="450"/>
      <c r="I65" s="451"/>
      <c r="J65" s="1"/>
      <c r="K65" s="72"/>
      <c r="L65" s="1"/>
      <c r="M65" s="1"/>
      <c r="N65" s="1"/>
      <c r="O65" s="1"/>
      <c r="P65" s="1"/>
      <c r="Q65" s="1"/>
      <c r="R65" s="1"/>
      <c r="S65" s="1"/>
    </row>
    <row r="66" spans="2:19" ht="14.25" customHeight="1" thickBot="1">
      <c r="B66" s="469" t="s">
        <v>47</v>
      </c>
      <c r="C66" s="475"/>
      <c r="D66" s="470"/>
      <c r="E66" s="35">
        <f>IF(E23="","",SUM(E60:E65))</f>
        <v>3.1549226637499999</v>
      </c>
      <c r="F66" s="31"/>
      <c r="H66" s="450"/>
      <c r="I66" s="45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2:19" ht="14.25" customHeight="1" thickBot="1">
      <c r="B67" s="501" t="s">
        <v>48</v>
      </c>
      <c r="C67" s="502"/>
      <c r="D67" s="503">
        <f>SUM(D64:D66)</f>
        <v>1.6180555555555555E-4</v>
      </c>
      <c r="E67" s="39">
        <f>IF(E23="","",E66*D40)</f>
        <v>1.1136877003037502</v>
      </c>
      <c r="F67" s="3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2:19" ht="14.25" customHeight="1" thickBot="1">
      <c r="B68" s="465" t="s">
        <v>49</v>
      </c>
      <c r="C68" s="466"/>
      <c r="D68" s="467"/>
      <c r="E68" s="40">
        <f>IF(E23="","",E66+E67)</f>
        <v>4.2686103640537496</v>
      </c>
      <c r="F68" s="31"/>
      <c r="H68" s="4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2:19" ht="14.25" customHeight="1" thickBot="1">
      <c r="H69" s="4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2:19" ht="14.25" customHeight="1" thickBot="1">
      <c r="B70" s="454" t="s">
        <v>50</v>
      </c>
      <c r="C70" s="455"/>
      <c r="D70" s="455"/>
      <c r="E70" s="456"/>
      <c r="F70" s="25"/>
      <c r="H70" s="36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2:19" ht="14.25" customHeight="1">
      <c r="B71" s="457" t="s">
        <v>89</v>
      </c>
      <c r="C71" s="458"/>
      <c r="D71" s="459"/>
      <c r="E71" s="96">
        <f>Uniformes!H15</f>
        <v>35.333075000000001</v>
      </c>
      <c r="F71" s="29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2:19" ht="14.25" customHeight="1">
      <c r="B72" s="42" t="s">
        <v>51</v>
      </c>
      <c r="C72" s="43"/>
      <c r="D72" s="44"/>
      <c r="E72" s="179">
        <f>Equipamentos!H19+Equipamentos!H23</f>
        <v>3.71892625</v>
      </c>
      <c r="F72" s="29"/>
      <c r="H72" s="1"/>
      <c r="I72" s="1"/>
      <c r="J72" s="1"/>
      <c r="O72" s="1"/>
      <c r="P72" s="1"/>
      <c r="Q72" s="1"/>
      <c r="R72" s="1"/>
      <c r="S72" s="1"/>
    </row>
    <row r="73" spans="2:19" ht="14.25" customHeight="1" thickBot="1">
      <c r="B73" s="460" t="s">
        <v>52</v>
      </c>
      <c r="C73" s="461"/>
      <c r="D73" s="462"/>
      <c r="E73" s="30">
        <f>IF(E23="","",SUM(E71:E72))</f>
        <v>39.052001250000004</v>
      </c>
      <c r="F73" s="31"/>
      <c r="H73" s="1"/>
      <c r="I73" s="1"/>
      <c r="J73" s="1"/>
      <c r="O73" s="1"/>
      <c r="P73" s="1"/>
      <c r="Q73" s="1"/>
      <c r="R73" s="1"/>
      <c r="S73" s="1"/>
    </row>
    <row r="74" spans="2:19" ht="14.25" customHeight="1" thickBot="1">
      <c r="H74" s="1"/>
      <c r="I74" s="1"/>
      <c r="J74" s="1"/>
      <c r="O74" s="66"/>
      <c r="P74" s="1"/>
      <c r="Q74" s="1"/>
      <c r="R74" s="1"/>
      <c r="S74" s="1"/>
    </row>
    <row r="75" spans="2:19" ht="14.25" customHeight="1" thickBot="1">
      <c r="B75" s="454" t="s">
        <v>53</v>
      </c>
      <c r="C75" s="455"/>
      <c r="D75" s="455"/>
      <c r="E75" s="456"/>
      <c r="F75" s="25"/>
      <c r="H75" s="1"/>
      <c r="I75" s="1"/>
      <c r="J75" s="1"/>
      <c r="O75" s="66"/>
      <c r="P75" s="1"/>
      <c r="Q75" s="1"/>
      <c r="R75" s="1"/>
      <c r="S75" s="1"/>
    </row>
    <row r="76" spans="2:19" ht="14.25" customHeight="1" thickBot="1">
      <c r="B76" s="45" t="s">
        <v>54</v>
      </c>
      <c r="C76" s="46"/>
      <c r="D76" s="177">
        <v>2.27009E-2</v>
      </c>
      <c r="E76" s="47">
        <f>IF($E$23="","",($E$23+$E$48+$E$57+$E$68+$E$73)*$D$76)</f>
        <v>178.06739024648357</v>
      </c>
      <c r="F76" s="34"/>
      <c r="H76" s="286"/>
      <c r="I76" s="286"/>
      <c r="J76" s="1"/>
      <c r="O76" s="66"/>
      <c r="P76" s="1"/>
      <c r="Q76" s="1"/>
      <c r="R76" s="36"/>
      <c r="S76" s="1"/>
    </row>
    <row r="77" spans="2:19" ht="14.25" customHeight="1" thickBot="1">
      <c r="B77" s="48" t="s">
        <v>55</v>
      </c>
      <c r="C77" s="49"/>
      <c r="D77" s="156">
        <v>0.03</v>
      </c>
      <c r="E77" s="47">
        <f>IF($E$23="","",($D$77*($E$23+$E$48+$E$57+$E$68+$E$73+$E$76+$E$80)/(1-SUM($D$77:$D$79))))</f>
        <v>266.08723038105171</v>
      </c>
      <c r="F77" s="34"/>
      <c r="H77" s="1"/>
      <c r="I77" s="1"/>
      <c r="J77" s="1"/>
      <c r="O77" s="66"/>
      <c r="P77" s="1"/>
      <c r="Q77" s="1"/>
      <c r="R77" s="1"/>
      <c r="S77" s="1"/>
    </row>
    <row r="78" spans="2:19" ht="14.25" customHeight="1" thickBot="1">
      <c r="B78" s="170" t="s">
        <v>56</v>
      </c>
      <c r="C78" s="171"/>
      <c r="D78" s="156">
        <v>6.4999999999999997E-3</v>
      </c>
      <c r="E78" s="47">
        <f>IF($E$23="","",($D$78*($E$23+$E$48+$E$57+$E$68+$E$73+$E$76+$E$80)/(1-SUM($D$77:$D$79))))</f>
        <v>57.652233249227869</v>
      </c>
      <c r="F78" s="34"/>
      <c r="H78" s="1"/>
      <c r="I78" s="1"/>
      <c r="J78" s="1"/>
      <c r="O78" s="66"/>
      <c r="P78" s="1"/>
      <c r="Q78" s="1"/>
      <c r="R78" s="36"/>
      <c r="S78" s="1"/>
    </row>
    <row r="79" spans="2:19" ht="14.25" customHeight="1" thickBot="1">
      <c r="B79" s="170" t="s">
        <v>57</v>
      </c>
      <c r="C79" s="171"/>
      <c r="D79" s="177">
        <v>0.05</v>
      </c>
      <c r="E79" s="47">
        <f>IF($E$23="","",($D$79*($E$23+$E$48+$E$57+$E$68+$E$73+$E$76+$E$80)/(1-SUM($D$77:$D$79))))</f>
        <v>443.47871730175291</v>
      </c>
      <c r="F79" s="34"/>
      <c r="H79" s="1"/>
      <c r="I79" s="1"/>
      <c r="J79" s="1"/>
      <c r="O79" s="66"/>
      <c r="P79" s="1"/>
      <c r="Q79" s="1"/>
      <c r="R79" s="36"/>
      <c r="S79" s="1"/>
    </row>
    <row r="80" spans="2:19" ht="14.25" customHeight="1" thickBot="1">
      <c r="B80" s="170" t="s">
        <v>58</v>
      </c>
      <c r="C80" s="171"/>
      <c r="D80" s="177">
        <v>0.01</v>
      </c>
      <c r="E80" s="47">
        <f>IF($E$23="","",($E$23+$E$48+$E$57+$E$68+$E$73+$E$76)*$D$80)</f>
        <v>80.221348169336878</v>
      </c>
      <c r="F80" s="34"/>
      <c r="H80" s="1"/>
      <c r="I80" s="1"/>
      <c r="J80" s="1"/>
      <c r="O80" s="66"/>
      <c r="P80" s="1"/>
      <c r="Q80" s="1"/>
      <c r="R80" s="36"/>
      <c r="S80" s="1"/>
    </row>
    <row r="81" spans="2:19" ht="14.25" customHeight="1" thickBot="1">
      <c r="B81" s="460" t="s">
        <v>59</v>
      </c>
      <c r="C81" s="461"/>
      <c r="D81" s="462"/>
      <c r="E81" s="50">
        <f>IF(E23="","",SUM($E$76:$E$80))</f>
        <v>1025.506919347853</v>
      </c>
      <c r="F81" s="31"/>
      <c r="H81" s="1"/>
      <c r="I81" s="1"/>
      <c r="J81" s="1"/>
      <c r="O81" s="66"/>
      <c r="P81" s="1"/>
      <c r="Q81" s="1"/>
      <c r="R81" s="36"/>
      <c r="S81" s="1"/>
    </row>
    <row r="82" spans="2:19" ht="14.25" customHeight="1" thickBot="1">
      <c r="H82" s="1"/>
      <c r="I82" s="1"/>
      <c r="O82" s="66"/>
      <c r="P82" s="1"/>
      <c r="Q82" s="1"/>
      <c r="R82" s="1"/>
      <c r="S82" s="1"/>
    </row>
    <row r="83" spans="2:19" ht="14.25" customHeight="1" thickBot="1">
      <c r="B83" s="463" t="s">
        <v>60</v>
      </c>
      <c r="C83" s="464"/>
      <c r="D83" s="464"/>
      <c r="E83" s="51">
        <f>E23+E48+E57+E68+E73+E81</f>
        <v>8869.5743460350568</v>
      </c>
      <c r="F83" s="31"/>
      <c r="J83" s="1"/>
      <c r="O83" s="66"/>
      <c r="P83" s="1"/>
      <c r="Q83" s="1"/>
      <c r="R83" s="1"/>
      <c r="S83" s="1"/>
    </row>
    <row r="84" spans="2:19" ht="14.25" customHeight="1" thickBot="1">
      <c r="H84" s="1"/>
      <c r="I84" s="1"/>
      <c r="L84" s="74"/>
      <c r="O84" s="67"/>
    </row>
    <row r="85" spans="2:19" ht="14.25" customHeight="1" thickBot="1">
      <c r="B85" s="452" t="s">
        <v>61</v>
      </c>
      <c r="C85" s="453"/>
      <c r="D85" s="453"/>
      <c r="E85" s="52">
        <f>E83*E12</f>
        <v>17739.148692070114</v>
      </c>
      <c r="F85" s="31"/>
      <c r="K85" s="75"/>
      <c r="O85" s="67"/>
    </row>
    <row r="86" spans="2:19" ht="14.25" customHeight="1">
      <c r="B86" s="174"/>
      <c r="C86" s="174"/>
      <c r="D86" s="53"/>
      <c r="E86" s="54"/>
      <c r="F86" s="55"/>
      <c r="G86" s="54"/>
      <c r="H86" s="54"/>
      <c r="K86" s="76"/>
      <c r="O86" s="67"/>
    </row>
    <row r="87" spans="2:19" ht="14.25" customHeight="1">
      <c r="B87" s="3" t="s">
        <v>62</v>
      </c>
      <c r="D87" s="180">
        <f>IF(E23="","-",E83/E23)</f>
        <v>2.0885946535615911</v>
      </c>
      <c r="E87" s="3" t="str">
        <f>IF(E23="","a ser calculado",IF(D87&lt;=2.7,"OK","Superior a 2,7 --- Reavaliar planilha"))</f>
        <v>OK</v>
      </c>
      <c r="K87" s="73"/>
      <c r="O87" s="67"/>
    </row>
    <row r="88" spans="2:19" ht="14.25" customHeight="1">
      <c r="B88" s="436" t="s">
        <v>181</v>
      </c>
      <c r="C88" s="436"/>
      <c r="D88" s="436"/>
      <c r="E88" s="436"/>
      <c r="O88" s="67"/>
    </row>
    <row r="89" spans="2:19" ht="14.25" customHeight="1">
      <c r="O89" s="67"/>
    </row>
    <row r="90" spans="2:19" ht="14.25" customHeight="1">
      <c r="O90" s="67"/>
    </row>
    <row r="91" spans="2:19" ht="14.25" customHeight="1">
      <c r="O91" s="67"/>
      <c r="P91" s="65"/>
    </row>
    <row r="92" spans="2:19" ht="14.25" customHeight="1">
      <c r="P92" s="65"/>
    </row>
    <row r="94" spans="2:19" ht="14.25" customHeight="1">
      <c r="L94" s="65"/>
    </row>
  </sheetData>
  <sheetProtection formatColumns="0" formatRows="0"/>
  <mergeCells count="50">
    <mergeCell ref="B85:D85"/>
    <mergeCell ref="B88:E88"/>
    <mergeCell ref="B70:E70"/>
    <mergeCell ref="B71:D71"/>
    <mergeCell ref="B73:D73"/>
    <mergeCell ref="B75:E75"/>
    <mergeCell ref="B81:D81"/>
    <mergeCell ref="B83:D83"/>
    <mergeCell ref="L63:M63"/>
    <mergeCell ref="H64:H66"/>
    <mergeCell ref="I64:I66"/>
    <mergeCell ref="B66:D66"/>
    <mergeCell ref="B67:D67"/>
    <mergeCell ref="B68:D68"/>
    <mergeCell ref="I51:I52"/>
    <mergeCell ref="H53:H55"/>
    <mergeCell ref="I53:I55"/>
    <mergeCell ref="B57:D57"/>
    <mergeCell ref="B59:E59"/>
    <mergeCell ref="L61:M61"/>
    <mergeCell ref="B42:D42"/>
    <mergeCell ref="B43:D43"/>
    <mergeCell ref="B47:D47"/>
    <mergeCell ref="B48:D48"/>
    <mergeCell ref="B50:E50"/>
    <mergeCell ref="H51:H52"/>
    <mergeCell ref="B30:D30"/>
    <mergeCell ref="B31:E31"/>
    <mergeCell ref="H39:H41"/>
    <mergeCell ref="I39:I41"/>
    <mergeCell ref="B40:C40"/>
    <mergeCell ref="B41:E41"/>
    <mergeCell ref="B26:E26"/>
    <mergeCell ref="B10:E10"/>
    <mergeCell ref="B11:C11"/>
    <mergeCell ref="B12:C12"/>
    <mergeCell ref="B14:E14"/>
    <mergeCell ref="C15:D15"/>
    <mergeCell ref="C16:D16"/>
    <mergeCell ref="C17:D17"/>
    <mergeCell ref="C18:D18"/>
    <mergeCell ref="B20:E20"/>
    <mergeCell ref="B23:D23"/>
    <mergeCell ref="B25:E25"/>
    <mergeCell ref="B8:D8"/>
    <mergeCell ref="B2:E2"/>
    <mergeCell ref="B4:E4"/>
    <mergeCell ref="B5:D5"/>
    <mergeCell ref="B6:D6"/>
    <mergeCell ref="B7:D7"/>
  </mergeCells>
  <dataValidations count="7">
    <dataValidation type="decimal" operator="lessThanOrEqual" allowBlank="1" showInputMessage="1" showErrorMessage="1" errorTitle="Valor inválido" error="Máximo aceito = 6%" sqref="D38">
      <formula1>0.06</formula1>
    </dataValidation>
    <dataValidation type="decimal" operator="lessThanOrEqual" allowBlank="1" showInputMessage="1" showErrorMessage="1" errorTitle="Valor inválido" error="Deve ser igual ou inferior a 2,00% (Ref.: IBGE)" sqref="I64">
      <formula1>0.02</formula1>
    </dataValidation>
    <dataValidation type="decimal" operator="lessThanOrEqual" allowBlank="1" showInputMessage="1" showErrorMessage="1" errorTitle="Valor inválido" error="Deve ser igual ou inferior a 8,00% (Ref.: IBGE)" sqref="I63">
      <formula1>0.08</formula1>
    </dataValidation>
    <dataValidation type="decimal" operator="lessThanOrEqual" allowBlank="1" showInputMessage="1" showErrorMessage="1" errorTitle="Valor inválido" error="Deve ser igual ou inferior a 1,50% (Ref.: IBGE)" sqref="I62">
      <formula1>0.015</formula1>
    </dataValidation>
    <dataValidation type="decimal" operator="lessThanOrEqual" allowBlank="1" showInputMessage="1" showErrorMessage="1" errorTitle="Valor inválido" error="Deve ser igual ou inferior a 5,55 (Ref.: TCU)" sqref="I51">
      <formula1>0.0555</formula1>
    </dataValidation>
    <dataValidation type="decimal" operator="lessThanOrEqual" allowBlank="1" showInputMessage="1" showErrorMessage="1" errorTitle="Valor inválido" error="Deve ser igual ou inferior a 5,96 (Ref.: IBGE)" sqref="I61">
      <formula1>5.96</formula1>
    </dataValidation>
    <dataValidation type="list" allowBlank="1" showInputMessage="1" showErrorMessage="1" sqref="H12">
      <formula1>$J$2:$J$3</formula1>
    </dataValidation>
  </dataValidations>
  <pageMargins left="0.25" right="0.25" top="0.75" bottom="0.75" header="0.3" footer="0.3"/>
  <pageSetup paperSize="9" scale="59" orientation="portrait" verticalDpi="0" r:id="rId1"/>
  <headerFooter>
    <oddHeader xml:space="preserve">&amp;C
</oddHead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6"/>
  <sheetViews>
    <sheetView showGridLines="0" view="pageBreakPreview" zoomScale="90" zoomScaleNormal="100" zoomScaleSheetLayoutView="90" workbookViewId="0">
      <selection activeCell="E19" sqref="E19"/>
    </sheetView>
  </sheetViews>
  <sheetFormatPr defaultRowHeight="14.25" customHeight="1"/>
  <cols>
    <col min="1" max="1" width="1.7109375" style="18" customWidth="1"/>
    <col min="2" max="2" width="13.7109375" style="3" customWidth="1"/>
    <col min="3" max="3" width="59.42578125" style="3" customWidth="1"/>
    <col min="4" max="4" width="12.140625" style="3" customWidth="1"/>
    <col min="5" max="5" width="15.85546875" style="3" customWidth="1"/>
    <col min="6" max="6" width="1.7109375" style="17" customWidth="1"/>
    <col min="7" max="7" width="1.7109375" style="18" customWidth="1"/>
    <col min="8" max="8" width="18.28515625" style="18" customWidth="1"/>
    <col min="9" max="9" width="18.42578125" style="18" customWidth="1"/>
    <col min="10" max="10" width="9.140625" style="18" hidden="1" customWidth="1"/>
    <col min="11" max="11" width="17.7109375" style="18" customWidth="1"/>
    <col min="12" max="12" width="11.5703125" style="18" bestFit="1" customWidth="1"/>
    <col min="13" max="13" width="9.140625" style="18"/>
    <col min="14" max="14" width="11.42578125" style="18" bestFit="1" customWidth="1"/>
    <col min="15" max="15" width="9.140625" style="18"/>
    <col min="16" max="16" width="10.5703125" style="18" bestFit="1" customWidth="1"/>
    <col min="17" max="17" width="13.140625" style="18" customWidth="1"/>
    <col min="18" max="16384" width="9.140625" style="18"/>
  </cols>
  <sheetData>
    <row r="1" spans="2:19" ht="14.25" customHeight="1" thickBot="1"/>
    <row r="2" spans="2:19" s="3" customFormat="1" ht="22.5" customHeight="1" thickBot="1">
      <c r="B2" s="482" t="s">
        <v>84</v>
      </c>
      <c r="C2" s="483"/>
      <c r="D2" s="483"/>
      <c r="E2" s="484"/>
      <c r="G2" s="19"/>
      <c r="J2" s="19" t="s">
        <v>0</v>
      </c>
    </row>
    <row r="3" spans="2:19" ht="14.25" customHeight="1" thickBot="1">
      <c r="J3" s="19" t="s">
        <v>1</v>
      </c>
    </row>
    <row r="4" spans="2:19" ht="14.25" customHeight="1">
      <c r="B4" s="485" t="s">
        <v>63</v>
      </c>
      <c r="C4" s="486"/>
      <c r="D4" s="486"/>
      <c r="E4" s="487"/>
      <c r="J4" s="19"/>
    </row>
    <row r="5" spans="2:19" ht="14.25" customHeight="1">
      <c r="B5" s="488" t="s">
        <v>75</v>
      </c>
      <c r="C5" s="489"/>
      <c r="D5" s="490"/>
      <c r="E5" s="63"/>
      <c r="J5" s="19"/>
    </row>
    <row r="6" spans="2:19" ht="14.25" customHeight="1">
      <c r="B6" s="457" t="s">
        <v>76</v>
      </c>
      <c r="C6" s="458"/>
      <c r="D6" s="459"/>
      <c r="E6" s="9" t="s">
        <v>83</v>
      </c>
      <c r="J6" s="19"/>
    </row>
    <row r="7" spans="2:19" ht="14.25" customHeight="1">
      <c r="B7" s="457" t="s">
        <v>77</v>
      </c>
      <c r="C7" s="458"/>
      <c r="D7" s="459"/>
      <c r="E7" s="9">
        <v>2024</v>
      </c>
      <c r="J7" s="19"/>
    </row>
    <row r="8" spans="2:19" ht="14.25" customHeight="1" thickBot="1">
      <c r="B8" s="479" t="s">
        <v>78</v>
      </c>
      <c r="C8" s="480"/>
      <c r="D8" s="481"/>
      <c r="E8" s="7">
        <v>12</v>
      </c>
      <c r="J8" s="19"/>
    </row>
    <row r="9" spans="2:19" ht="14.25" customHeight="1" thickBot="1">
      <c r="J9" s="19"/>
    </row>
    <row r="10" spans="2:19" ht="14.25" customHeight="1" thickBot="1">
      <c r="B10" s="485" t="s">
        <v>65</v>
      </c>
      <c r="C10" s="486"/>
      <c r="D10" s="486"/>
      <c r="E10" s="487"/>
      <c r="J10" s="19"/>
    </row>
    <row r="11" spans="2:19" s="107" customFormat="1" ht="33" customHeight="1" thickBot="1">
      <c r="B11" s="491" t="s">
        <v>2</v>
      </c>
      <c r="C11" s="492"/>
      <c r="D11" s="105" t="s">
        <v>3</v>
      </c>
      <c r="E11" s="11" t="s">
        <v>4</v>
      </c>
      <c r="F11" s="12"/>
      <c r="H11" s="13" t="s">
        <v>64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2:19" ht="14.25" customHeight="1" thickBot="1">
      <c r="B12" s="493" t="s">
        <v>114</v>
      </c>
      <c r="C12" s="494"/>
      <c r="D12" s="14" t="s">
        <v>94</v>
      </c>
      <c r="E12" s="15">
        <v>18</v>
      </c>
      <c r="F12" s="21"/>
      <c r="H12" s="16" t="s"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2:19" ht="14.25" customHeight="1" thickBot="1">
      <c r="B13" s="22"/>
      <c r="C13" s="22"/>
      <c r="D13" s="22"/>
      <c r="E13" s="22"/>
      <c r="F13" s="2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2:19" ht="14.25" customHeight="1">
      <c r="B14" s="485" t="s">
        <v>70</v>
      </c>
      <c r="C14" s="486"/>
      <c r="D14" s="486"/>
      <c r="E14" s="487"/>
      <c r="F14" s="23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2:19" ht="14.25" customHeight="1">
      <c r="B15" s="5">
        <v>1</v>
      </c>
      <c r="C15" s="495" t="s">
        <v>66</v>
      </c>
      <c r="D15" s="496"/>
      <c r="E15" s="8"/>
      <c r="F15" s="23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2:19" ht="14.25" customHeight="1">
      <c r="B16" s="6">
        <v>2</v>
      </c>
      <c r="C16" s="497" t="s">
        <v>67</v>
      </c>
      <c r="D16" s="498"/>
      <c r="E16" s="80">
        <f>'Desarmada - Diurna 12 x36 hs'!E16</f>
        <v>2723.41</v>
      </c>
      <c r="F16" s="23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ht="14.25" customHeight="1">
      <c r="B17" s="6">
        <v>3</v>
      </c>
      <c r="C17" s="497" t="s">
        <v>68</v>
      </c>
      <c r="D17" s="498"/>
      <c r="E17" s="9" t="s">
        <v>112</v>
      </c>
      <c r="F17" s="23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4.25" customHeight="1" thickBot="1">
      <c r="B18" s="4">
        <v>4</v>
      </c>
      <c r="C18" s="499" t="s">
        <v>69</v>
      </c>
      <c r="D18" s="500"/>
      <c r="E18" s="64">
        <v>45292</v>
      </c>
      <c r="F18" s="23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 thickBot="1">
      <c r="B19" s="22"/>
      <c r="C19" s="22"/>
      <c r="D19" s="22"/>
      <c r="E19" s="22"/>
      <c r="F19" s="23"/>
      <c r="H19" t="s">
        <v>115</v>
      </c>
      <c r="I19" s="119">
        <f>E21+E22</f>
        <v>3540.433</v>
      </c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67"/>
      <c r="B20" s="476" t="s">
        <v>5</v>
      </c>
      <c r="C20" s="477"/>
      <c r="D20" s="477"/>
      <c r="E20" s="478"/>
      <c r="F20" s="25"/>
      <c r="H20" t="s">
        <v>116</v>
      </c>
      <c r="I20">
        <v>220</v>
      </c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4.25" customHeight="1">
      <c r="A21" s="67"/>
      <c r="B21" s="328" t="s">
        <v>6</v>
      </c>
      <c r="C21" s="345"/>
      <c r="D21" s="27"/>
      <c r="E21" s="28">
        <f>E16</f>
        <v>2723.41</v>
      </c>
      <c r="F21" s="29"/>
      <c r="H21" t="s">
        <v>117</v>
      </c>
      <c r="I21" s="120">
        <v>0.2</v>
      </c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4.25" customHeight="1">
      <c r="A22" s="67"/>
      <c r="B22" s="328" t="s">
        <v>111</v>
      </c>
      <c r="C22" s="345"/>
      <c r="D22" s="121">
        <v>0.3</v>
      </c>
      <c r="E22" s="28">
        <f>E21*D22</f>
        <v>817.02299999999991</v>
      </c>
      <c r="F22" s="29"/>
      <c r="H22" t="s">
        <v>118</v>
      </c>
      <c r="I22">
        <f>60/52.5</f>
        <v>1.1428571428571428</v>
      </c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4.25" customHeight="1">
      <c r="A23" s="67"/>
      <c r="B23" s="504" t="s">
        <v>123</v>
      </c>
      <c r="C23" s="505"/>
      <c r="D23" s="71">
        <v>0.2</v>
      </c>
      <c r="E23" s="28">
        <f>(((E21+E22)/220)*20%)*(15*7)</f>
        <v>337.95042272727272</v>
      </c>
      <c r="F23" s="29"/>
      <c r="H23" t="s">
        <v>119</v>
      </c>
      <c r="I23">
        <v>7</v>
      </c>
      <c r="J23" s="1"/>
      <c r="K23" s="81"/>
      <c r="L23" s="474"/>
      <c r="M23" s="474"/>
      <c r="N23" s="1"/>
      <c r="O23" s="1"/>
      <c r="P23" s="1"/>
      <c r="Q23" s="1"/>
      <c r="R23" s="1"/>
      <c r="S23" s="1"/>
    </row>
    <row r="24" spans="1:19" ht="14.25" customHeight="1">
      <c r="A24" s="67"/>
      <c r="B24" s="328" t="s">
        <v>129</v>
      </c>
      <c r="C24" s="43"/>
      <c r="D24" s="32">
        <v>0.2</v>
      </c>
      <c r="E24" s="109">
        <f>((E21+E22)/220)*D24*15</f>
        <v>48.278631818181822</v>
      </c>
      <c r="F24" s="29"/>
      <c r="H24"/>
      <c r="I24"/>
      <c r="J24" s="1"/>
      <c r="K24" s="81"/>
      <c r="L24" s="176"/>
      <c r="M24" s="176"/>
      <c r="N24" s="1"/>
      <c r="O24" s="1"/>
      <c r="P24" s="1"/>
      <c r="Q24" s="1"/>
      <c r="R24" s="1"/>
      <c r="S24" s="1"/>
    </row>
    <row r="25" spans="1:19" ht="14.25" customHeight="1" thickBot="1">
      <c r="A25" s="67"/>
      <c r="B25" s="506" t="s">
        <v>7</v>
      </c>
      <c r="C25" s="507"/>
      <c r="D25" s="462"/>
      <c r="E25" s="30">
        <f>SUM(E21:E24)</f>
        <v>3926.6620545454548</v>
      </c>
      <c r="F25" s="31"/>
      <c r="H25" t="s">
        <v>120</v>
      </c>
      <c r="I25">
        <v>15</v>
      </c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4.25" customHeight="1" thickBot="1">
      <c r="H26" t="s">
        <v>121</v>
      </c>
      <c r="I26">
        <f>I19/I20*I21*I23*I25*I22</f>
        <v>386.22905454545452</v>
      </c>
      <c r="J26" s="1"/>
      <c r="K26" s="474"/>
      <c r="L26" s="474"/>
      <c r="M26" s="1"/>
      <c r="N26" s="1"/>
      <c r="O26" s="1"/>
      <c r="P26" s="1"/>
      <c r="Q26" s="1"/>
      <c r="R26" s="1"/>
      <c r="S26" s="1"/>
    </row>
    <row r="27" spans="1:19" ht="14.25" customHeight="1" thickBot="1">
      <c r="B27" s="454" t="s">
        <v>8</v>
      </c>
      <c r="C27" s="455"/>
      <c r="D27" s="455"/>
      <c r="E27" s="456"/>
      <c r="F27" s="25"/>
      <c r="H27" s="1"/>
      <c r="I27" s="1"/>
      <c r="J27" s="1"/>
      <c r="K27" s="1"/>
      <c r="L27" s="1"/>
      <c r="M27" s="1"/>
      <c r="N27" s="77"/>
      <c r="O27" s="1"/>
      <c r="P27" s="1"/>
      <c r="Q27" s="1"/>
      <c r="R27" s="1"/>
      <c r="S27" s="1"/>
    </row>
    <row r="28" spans="1:19" ht="14.25" customHeight="1">
      <c r="B28" s="471" t="s">
        <v>9</v>
      </c>
      <c r="C28" s="472"/>
      <c r="D28" s="472"/>
      <c r="E28" s="473"/>
      <c r="F28" s="23"/>
      <c r="H28" s="1"/>
      <c r="I28" s="1"/>
      <c r="J28" s="1"/>
      <c r="K28" s="1"/>
      <c r="L28" s="1"/>
      <c r="M28" s="1"/>
      <c r="N28" s="77"/>
      <c r="O28" s="1"/>
      <c r="P28" s="1"/>
      <c r="Q28" s="1"/>
      <c r="R28" s="1"/>
      <c r="S28" s="1"/>
    </row>
    <row r="29" spans="1:19" ht="14.25" customHeight="1">
      <c r="B29" s="103" t="s">
        <v>10</v>
      </c>
      <c r="C29" s="104"/>
      <c r="D29" s="32">
        <f>'Supervisor - Diurna 12 x36h'!D27</f>
        <v>8.3299999999999999E-2</v>
      </c>
      <c r="E29" s="33">
        <f>IF($E$25="","",D29*$E$25)</f>
        <v>327.09094914363641</v>
      </c>
      <c r="F29" s="34"/>
      <c r="H29" s="1"/>
      <c r="I29" s="1"/>
      <c r="J29" s="1"/>
      <c r="K29" s="1"/>
      <c r="L29" s="1"/>
      <c r="M29" s="1"/>
      <c r="N29" s="77"/>
      <c r="O29" s="1"/>
      <c r="P29" s="1"/>
      <c r="Q29" s="1"/>
      <c r="R29" s="1"/>
      <c r="S29" s="1"/>
    </row>
    <row r="30" spans="1:19" ht="14.25" customHeight="1">
      <c r="B30" s="298" t="s">
        <v>37</v>
      </c>
      <c r="C30" s="299"/>
      <c r="D30" s="32">
        <f>'Supervisor - Diurna 12 x36h'!D28</f>
        <v>8.9300000000000004E-2</v>
      </c>
      <c r="E30" s="33">
        <f>E25*D30</f>
        <v>350.65092147090911</v>
      </c>
      <c r="F30" s="34"/>
      <c r="H30" s="1"/>
      <c r="I30" s="1"/>
      <c r="J30" s="1"/>
      <c r="K30" s="1"/>
      <c r="L30" s="1"/>
      <c r="M30" s="1"/>
      <c r="N30" s="77"/>
      <c r="O30" s="1"/>
      <c r="P30" s="1"/>
      <c r="Q30" s="1"/>
      <c r="R30" s="1"/>
      <c r="S30" s="1"/>
    </row>
    <row r="31" spans="1:19" ht="14.25" customHeight="1">
      <c r="B31" s="298" t="s">
        <v>277</v>
      </c>
      <c r="C31" s="299"/>
      <c r="D31" s="32">
        <f>'Supervisor - Diurna 12 x36h'!D29</f>
        <v>3.1699999999999999E-2</v>
      </c>
      <c r="E31" s="33">
        <f>E25*D31</f>
        <v>124.47518712909091</v>
      </c>
      <c r="F31" s="3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4.25" customHeight="1" thickBot="1">
      <c r="B32" s="469" t="s">
        <v>11</v>
      </c>
      <c r="C32" s="475"/>
      <c r="D32" s="470"/>
      <c r="E32" s="35">
        <f>IF(E25="","",SUM(E29:E31))</f>
        <v>802.21705774363647</v>
      </c>
      <c r="F32" s="3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2:19" ht="14.25" customHeight="1">
      <c r="B33" s="471" t="s">
        <v>12</v>
      </c>
      <c r="C33" s="472"/>
      <c r="D33" s="472"/>
      <c r="E33" s="473"/>
      <c r="F33" s="23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2:19" ht="14.25" customHeight="1">
      <c r="B34" s="103" t="s">
        <v>13</v>
      </c>
      <c r="C34" s="104"/>
      <c r="D34" s="32">
        <v>0.2</v>
      </c>
      <c r="E34" s="33">
        <f>IF($E$25="","",($E$25+$E$32)*D34)</f>
        <v>945.77582245781832</v>
      </c>
      <c r="F34" s="34"/>
      <c r="H34" s="1"/>
      <c r="I34" s="1"/>
      <c r="J34" s="1"/>
      <c r="K34" s="36"/>
      <c r="L34" s="1"/>
      <c r="M34" s="1"/>
      <c r="N34" s="1"/>
      <c r="O34" s="1"/>
      <c r="P34" s="1"/>
      <c r="Q34" s="1"/>
      <c r="R34" s="1"/>
      <c r="S34" s="1"/>
    </row>
    <row r="35" spans="2:19" ht="14.25" customHeight="1">
      <c r="B35" s="103" t="s">
        <v>14</v>
      </c>
      <c r="C35" s="104"/>
      <c r="D35" s="32">
        <v>1.4999999999999999E-2</v>
      </c>
      <c r="E35" s="33">
        <f t="shared" ref="E35:E41" si="0">IF($E$25="","",($E$25+$E$32)*D35)</f>
        <v>70.933186684336377</v>
      </c>
      <c r="F35" s="3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2:19" ht="14.25" customHeight="1">
      <c r="B36" s="103" t="s">
        <v>15</v>
      </c>
      <c r="C36" s="104"/>
      <c r="D36" s="32">
        <v>0.01</v>
      </c>
      <c r="E36" s="33">
        <f>IF($E$25="","",($E$25+$E$32)*D36)</f>
        <v>47.28879112289092</v>
      </c>
      <c r="F36" s="3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2:19" ht="14.25" customHeight="1">
      <c r="B37" s="103" t="s">
        <v>16</v>
      </c>
      <c r="C37" s="104"/>
      <c r="D37" s="32">
        <v>2E-3</v>
      </c>
      <c r="E37" s="33">
        <f t="shared" si="0"/>
        <v>9.4577582245781837</v>
      </c>
      <c r="F37" s="3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2:19" ht="14.25" customHeight="1">
      <c r="B38" s="103" t="s">
        <v>17</v>
      </c>
      <c r="C38" s="104"/>
      <c r="D38" s="32">
        <v>2.5000000000000001E-2</v>
      </c>
      <c r="E38" s="33">
        <f>IF($E$25="","",($E$25+$E$32)*D38)</f>
        <v>118.22197780722729</v>
      </c>
      <c r="F38" s="3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2:19" ht="14.25" customHeight="1">
      <c r="B39" s="103" t="s">
        <v>18</v>
      </c>
      <c r="C39" s="104"/>
      <c r="D39" s="32">
        <v>0.08</v>
      </c>
      <c r="E39" s="33">
        <f t="shared" si="0"/>
        <v>378.31032898312736</v>
      </c>
      <c r="F39" s="34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2:19" ht="14.25" customHeight="1">
      <c r="B40" s="103" t="s">
        <v>19</v>
      </c>
      <c r="C40" s="104"/>
      <c r="D40" s="37">
        <f>'Supervisor - Diurna 12 x36h'!D38</f>
        <v>1.4999999999999999E-2</v>
      </c>
      <c r="E40" s="33">
        <f>IF($E$25="","",($E$25+$E$32)*D40)</f>
        <v>70.933186684336377</v>
      </c>
      <c r="F40" s="34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2:19" ht="14.25" customHeight="1">
      <c r="B41" s="103" t="s">
        <v>20</v>
      </c>
      <c r="C41" s="104"/>
      <c r="D41" s="32">
        <v>6.0000000000000001E-3</v>
      </c>
      <c r="E41" s="33">
        <f t="shared" si="0"/>
        <v>28.373274673734549</v>
      </c>
      <c r="F41" s="34"/>
      <c r="H41" s="450" t="s">
        <v>23</v>
      </c>
      <c r="I41" s="468">
        <v>15</v>
      </c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2:19" ht="14.25" customHeight="1" thickBot="1">
      <c r="B42" s="469" t="s">
        <v>21</v>
      </c>
      <c r="C42" s="470"/>
      <c r="D42" s="38">
        <f>SUM(D34:D41)</f>
        <v>0.35300000000000009</v>
      </c>
      <c r="E42" s="35">
        <f>IF(E25="","",SUM(E34:E41))</f>
        <v>1669.2943266380494</v>
      </c>
      <c r="F42" s="31"/>
      <c r="H42" s="450"/>
      <c r="I42" s="468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2:19" ht="14.25" customHeight="1">
      <c r="B43" s="471" t="s">
        <v>22</v>
      </c>
      <c r="C43" s="472"/>
      <c r="D43" s="472"/>
      <c r="E43" s="473"/>
      <c r="F43" s="23"/>
      <c r="H43" s="450"/>
      <c r="I43" s="468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2:19" ht="14.25" customHeight="1">
      <c r="B44" s="457" t="s">
        <v>24</v>
      </c>
      <c r="C44" s="458"/>
      <c r="D44" s="459"/>
      <c r="E44" s="33">
        <f>I44*I41</f>
        <v>696.33899999999994</v>
      </c>
      <c r="F44" s="34"/>
      <c r="H44" s="56" t="s">
        <v>72</v>
      </c>
      <c r="I44" s="114">
        <f>47.37-(47.37*2%)</f>
        <v>46.422599999999996</v>
      </c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2:19" ht="14.25" customHeight="1">
      <c r="B45" s="457" t="s">
        <v>25</v>
      </c>
      <c r="C45" s="458"/>
      <c r="D45" s="459"/>
      <c r="E45" s="33">
        <f>((I41*I45)*2)-(E21*6%)</f>
        <v>1.5954000000000121</v>
      </c>
      <c r="F45" s="34"/>
      <c r="H45" s="56" t="s">
        <v>26</v>
      </c>
      <c r="I45" s="106">
        <v>5.5</v>
      </c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2:19" ht="14.25" customHeight="1">
      <c r="B46" s="42" t="s">
        <v>188</v>
      </c>
      <c r="C46" s="43"/>
      <c r="D46" s="44"/>
      <c r="E46" s="155">
        <f>'Supervisor - Diurna 12 x36h'!E44</f>
        <v>10</v>
      </c>
      <c r="F46" s="34"/>
      <c r="H46" s="56"/>
      <c r="I46" s="140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2:19" ht="14.25" customHeight="1">
      <c r="B47" s="42"/>
      <c r="C47" s="43"/>
      <c r="D47" s="44"/>
      <c r="E47" s="142"/>
      <c r="F47" s="34"/>
      <c r="H47" s="56"/>
      <c r="I47" s="140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2:19" ht="14.25" customHeight="1">
      <c r="B48" s="42"/>
      <c r="C48" s="43"/>
      <c r="D48" s="44"/>
      <c r="E48" s="142"/>
      <c r="F48" s="34"/>
      <c r="H48" s="56"/>
      <c r="I48" s="140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2:19" ht="14.25" customHeight="1" thickBot="1">
      <c r="B49" s="469" t="s">
        <v>27</v>
      </c>
      <c r="C49" s="475"/>
      <c r="D49" s="470">
        <f>SUM(D44:D45)</f>
        <v>0</v>
      </c>
      <c r="E49" s="35">
        <f>E45+E44+E46+E47+E48</f>
        <v>707.93439999999998</v>
      </c>
      <c r="F49" s="31"/>
      <c r="H49" s="56"/>
      <c r="I49" s="57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2:19" ht="14.25" customHeight="1" thickBot="1">
      <c r="B50" s="460" t="s">
        <v>28</v>
      </c>
      <c r="C50" s="461"/>
      <c r="D50" s="462"/>
      <c r="E50" s="30">
        <f>IF(E25="","",E32+E42+E49)</f>
        <v>3179.4457843816858</v>
      </c>
      <c r="F50" s="31"/>
      <c r="H50" s="56"/>
      <c r="I50" s="57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2:19" ht="14.25" customHeight="1" thickBot="1">
      <c r="H51" s="56"/>
      <c r="I51" s="57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2:19" ht="14.25" customHeight="1" thickBot="1">
      <c r="B52" s="454" t="s">
        <v>29</v>
      </c>
      <c r="C52" s="455"/>
      <c r="D52" s="455"/>
      <c r="E52" s="456"/>
      <c r="F52" s="25"/>
      <c r="H52" s="56"/>
      <c r="I52" s="57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2:19" ht="14.25" customHeight="1">
      <c r="B53" s="103" t="s">
        <v>30</v>
      </c>
      <c r="C53" s="103"/>
      <c r="D53" s="32">
        <f>'Supervisor - Diurna 12 x36h'!D51</f>
        <v>8.3333333333333328E-4</v>
      </c>
      <c r="E53" s="33">
        <f t="shared" ref="E53:E58" si="1">IF($E$25="","",D53*$E$25)</f>
        <v>3.2722183787878789</v>
      </c>
      <c r="F53" s="34"/>
      <c r="H53" s="450" t="s">
        <v>71</v>
      </c>
      <c r="I53" s="451">
        <v>5.5500000000000001E-2</v>
      </c>
      <c r="J53" s="1"/>
      <c r="K53" s="72"/>
      <c r="L53" s="1"/>
      <c r="M53" s="1"/>
      <c r="N53" s="1"/>
      <c r="O53" s="1"/>
      <c r="P53" s="1"/>
      <c r="Q53" s="1"/>
      <c r="R53" s="1"/>
      <c r="S53" s="1"/>
    </row>
    <row r="54" spans="2:19" ht="14.25" customHeight="1">
      <c r="B54" s="103" t="s">
        <v>31</v>
      </c>
      <c r="C54" s="103"/>
      <c r="D54" s="32">
        <f>'Supervisor - Diurna 12 x36h'!D52</f>
        <v>6.666666666666667E-5</v>
      </c>
      <c r="E54" s="33">
        <f t="shared" si="1"/>
        <v>0.26177747030303034</v>
      </c>
      <c r="F54" s="34"/>
      <c r="H54" s="450"/>
      <c r="I54" s="45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2:19" ht="14.25" customHeight="1">
      <c r="B55" s="103" t="s">
        <v>32</v>
      </c>
      <c r="C55" s="103"/>
      <c r="D55" s="178">
        <f>'Supervisor - Diurna 12 x36h'!D53</f>
        <v>3.4000000000000002E-2</v>
      </c>
      <c r="E55" s="33">
        <f t="shared" si="1"/>
        <v>133.50650985454547</v>
      </c>
      <c r="F55" s="34"/>
      <c r="H55" s="450" t="s">
        <v>74</v>
      </c>
      <c r="I55" s="468">
        <v>0.9</v>
      </c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2:19" ht="14.25" customHeight="1">
      <c r="B56" s="103" t="s">
        <v>33</v>
      </c>
      <c r="C56" s="103"/>
      <c r="D56" s="32">
        <f>'Supervisor - Diurna 12 x36h'!D54</f>
        <v>1.9444444444444446E-4</v>
      </c>
      <c r="E56" s="33">
        <f t="shared" si="1"/>
        <v>0.76351762171717186</v>
      </c>
      <c r="F56" s="34"/>
      <c r="H56" s="450"/>
      <c r="I56" s="468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2:19" ht="14.25" customHeight="1">
      <c r="B57" s="103" t="s">
        <v>34</v>
      </c>
      <c r="C57" s="104"/>
      <c r="D57" s="32">
        <f>'Supervisor - Diurna 12 x36h'!D55</f>
        <v>6.8638888888888916E-5</v>
      </c>
      <c r="E57" s="33">
        <f t="shared" si="1"/>
        <v>0.26952172046616174</v>
      </c>
      <c r="F57" s="34"/>
      <c r="H57" s="450"/>
      <c r="I57" s="468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2:19" ht="14.25" customHeight="1">
      <c r="B58" s="103" t="s">
        <v>185</v>
      </c>
      <c r="C58" s="103"/>
      <c r="D58" s="178">
        <f>'Supervisor - Diurna 12 x36h'!D56</f>
        <v>6.0000000000000001E-3</v>
      </c>
      <c r="E58" s="33">
        <f t="shared" si="1"/>
        <v>23.559972327272728</v>
      </c>
      <c r="F58" s="34"/>
      <c r="H58" s="56"/>
      <c r="I58" s="56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2:19" ht="14.25" customHeight="1" thickBot="1">
      <c r="B59" s="460" t="s">
        <v>35</v>
      </c>
      <c r="C59" s="461"/>
      <c r="D59" s="462"/>
      <c r="E59" s="30">
        <f>IF(E25="","",SUM(E53:E58))</f>
        <v>161.63351737309245</v>
      </c>
      <c r="F59" s="31"/>
      <c r="H59" s="56"/>
      <c r="I59" s="56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2:19" ht="14.25" customHeight="1" thickBot="1">
      <c r="H60" s="56"/>
      <c r="I60" s="56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2:19" ht="14.25" customHeight="1" thickBot="1">
      <c r="B61" s="454" t="s">
        <v>36</v>
      </c>
      <c r="C61" s="455"/>
      <c r="D61" s="455"/>
      <c r="E61" s="456"/>
      <c r="F61" s="25"/>
      <c r="H61" s="56"/>
      <c r="I61" s="56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2:19" ht="14.25" customHeight="1">
      <c r="B62" s="103" t="s">
        <v>37</v>
      </c>
      <c r="C62" s="104"/>
      <c r="D62" s="178">
        <f>'Supervisor - Diurna 12 x36h'!D60</f>
        <v>0</v>
      </c>
      <c r="E62" s="33">
        <f>IF($E$25="","",D62*$E$25)</f>
        <v>0</v>
      </c>
      <c r="F62" s="34"/>
      <c r="H62" s="56"/>
      <c r="I62" s="56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2:19" ht="14.25" customHeight="1">
      <c r="B63" s="103" t="s">
        <v>38</v>
      </c>
      <c r="C63" s="104"/>
      <c r="D63" s="32">
        <f>'Supervisor - Diurna 12 x36h'!D61</f>
        <v>1.6444444444444446E-4</v>
      </c>
      <c r="E63" s="33">
        <f>IF($E$25="","",D63*$E$25)</f>
        <v>0.64571776008080817</v>
      </c>
      <c r="F63" s="34"/>
      <c r="H63" s="56" t="s">
        <v>39</v>
      </c>
      <c r="I63" s="106">
        <v>5.96</v>
      </c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2:19" ht="14.25" customHeight="1">
      <c r="B64" s="103" t="s">
        <v>40</v>
      </c>
      <c r="C64" s="104"/>
      <c r="D64" s="32">
        <f>'Supervisor - Diurna 12 x36h'!D62</f>
        <v>2.0833333333333332E-4</v>
      </c>
      <c r="E64" s="33">
        <f>IF($E$25="","",D64*$E$25)</f>
        <v>0.81805459469696973</v>
      </c>
      <c r="F64" s="34"/>
      <c r="H64" s="56" t="s">
        <v>41</v>
      </c>
      <c r="I64" s="108">
        <v>1.4999999999999999E-2</v>
      </c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2:19" ht="14.25" customHeight="1">
      <c r="B65" s="103" t="s">
        <v>42</v>
      </c>
      <c r="C65" s="104"/>
      <c r="D65" s="32">
        <f>'Supervisor - Diurna 12 x36h'!D63</f>
        <v>2.0833333333333332E-4</v>
      </c>
      <c r="E65" s="33">
        <f>IF($E$25="","",D65*$E$25)</f>
        <v>0.81805459469696973</v>
      </c>
      <c r="F65" s="34"/>
      <c r="H65" s="56" t="s">
        <v>73</v>
      </c>
      <c r="I65" s="108">
        <v>0.08</v>
      </c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2:19" ht="14.25" customHeight="1">
      <c r="B66" s="103" t="s">
        <v>43</v>
      </c>
      <c r="C66" s="104"/>
      <c r="D66" s="32">
        <f>'Supervisor - Diurna 12 x36h'!D64</f>
        <v>1.6180555555555555E-4</v>
      </c>
      <c r="E66" s="33">
        <f>IF($E$25="","",D66*$E$25)</f>
        <v>0.6353557352146465</v>
      </c>
      <c r="F66" s="34"/>
      <c r="H66" s="450" t="s">
        <v>44</v>
      </c>
      <c r="I66" s="451">
        <v>0.02</v>
      </c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2:19" ht="14.25" customHeight="1">
      <c r="B67" s="103" t="s">
        <v>45</v>
      </c>
      <c r="C67" s="104"/>
      <c r="D67" s="32"/>
      <c r="E67" s="33" t="s">
        <v>46</v>
      </c>
      <c r="F67" s="34"/>
      <c r="H67" s="450"/>
      <c r="I67" s="45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2:19" ht="14.25" customHeight="1" thickBot="1">
      <c r="B68" s="469" t="s">
        <v>47</v>
      </c>
      <c r="C68" s="475"/>
      <c r="D68" s="470"/>
      <c r="E68" s="35">
        <f>IF(E25="","",SUM(E62:E67))</f>
        <v>2.917182684689394</v>
      </c>
      <c r="F68" s="31"/>
      <c r="H68" s="450"/>
      <c r="I68" s="45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2:19" ht="14.25" customHeight="1" thickBot="1">
      <c r="B69" s="501" t="s">
        <v>48</v>
      </c>
      <c r="C69" s="502"/>
      <c r="D69" s="503">
        <f>SUM(D66:D68)</f>
        <v>1.6180555555555555E-4</v>
      </c>
      <c r="E69" s="39">
        <f>IF(E25="","",E68*D42)</f>
        <v>1.0297654876953564</v>
      </c>
      <c r="F69" s="3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2:19" ht="14.25" customHeight="1" thickBot="1">
      <c r="B70" s="465" t="s">
        <v>49</v>
      </c>
      <c r="C70" s="466"/>
      <c r="D70" s="467"/>
      <c r="E70" s="40">
        <f>IF(E25="","",E68+E69)</f>
        <v>3.9469481723847504</v>
      </c>
      <c r="F70" s="31"/>
      <c r="H70" s="4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2:19" ht="14.25" customHeight="1" thickBot="1">
      <c r="H71" s="4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2:19" ht="14.25" customHeight="1" thickBot="1">
      <c r="B72" s="454" t="s">
        <v>50</v>
      </c>
      <c r="C72" s="455"/>
      <c r="D72" s="455"/>
      <c r="E72" s="456"/>
      <c r="F72" s="25"/>
      <c r="H72" s="36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2:19" ht="14.25" customHeight="1">
      <c r="B73" s="457" t="s">
        <v>89</v>
      </c>
      <c r="C73" s="458"/>
      <c r="D73" s="459"/>
      <c r="E73" s="96">
        <f>Uniformes!H15</f>
        <v>35.333075000000001</v>
      </c>
      <c r="F73" s="29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2:19" ht="14.25" customHeight="1">
      <c r="B74" s="42" t="s">
        <v>51</v>
      </c>
      <c r="C74" s="43"/>
      <c r="D74" s="44"/>
      <c r="E74" s="179">
        <f>Equipamentos!H23+Equipamentos!H19+Equipamentos!H28</f>
        <v>5.9026762500000007</v>
      </c>
      <c r="F74" s="29"/>
      <c r="H74" s="474"/>
      <c r="I74" s="474"/>
      <c r="J74" s="1"/>
      <c r="O74" s="1"/>
      <c r="P74" s="1"/>
      <c r="Q74" s="1"/>
      <c r="R74" s="1"/>
      <c r="S74" s="1"/>
    </row>
    <row r="75" spans="2:19" ht="14.25" customHeight="1" thickBot="1">
      <c r="B75" s="460" t="s">
        <v>52</v>
      </c>
      <c r="C75" s="461"/>
      <c r="D75" s="462"/>
      <c r="E75" s="30">
        <f>IF(E25="","",SUM(E73:E74))</f>
        <v>41.23575125</v>
      </c>
      <c r="F75" s="31"/>
      <c r="H75" s="1"/>
      <c r="I75" s="1"/>
      <c r="J75" s="1"/>
      <c r="O75" s="1"/>
      <c r="P75" s="1"/>
      <c r="Q75" s="1"/>
      <c r="R75" s="1"/>
      <c r="S75" s="1"/>
    </row>
    <row r="76" spans="2:19" ht="14.25" customHeight="1" thickBot="1">
      <c r="H76" s="1"/>
      <c r="I76" s="1"/>
      <c r="J76" s="1"/>
      <c r="O76" s="66"/>
      <c r="P76" s="1"/>
      <c r="Q76" s="1"/>
      <c r="R76" s="1"/>
      <c r="S76" s="1"/>
    </row>
    <row r="77" spans="2:19" ht="14.25" customHeight="1" thickBot="1">
      <c r="B77" s="454" t="s">
        <v>53</v>
      </c>
      <c r="C77" s="455"/>
      <c r="D77" s="455"/>
      <c r="E77" s="456"/>
      <c r="F77" s="25"/>
      <c r="H77" s="1"/>
      <c r="I77" s="1"/>
      <c r="J77" s="1"/>
      <c r="O77" s="66"/>
      <c r="P77" s="1"/>
      <c r="Q77" s="1"/>
      <c r="R77" s="1"/>
      <c r="S77" s="1"/>
    </row>
    <row r="78" spans="2:19" ht="14.25" customHeight="1" thickBot="1">
      <c r="B78" s="45" t="s">
        <v>54</v>
      </c>
      <c r="C78" s="46"/>
      <c r="D78" s="177">
        <v>1.0049682000000001E-2</v>
      </c>
      <c r="E78" s="47">
        <f>IF($E$25="","",($E$25+$E$50+$E$59+$E$70+$E$75)*$D$78)</f>
        <v>73.492561250162595</v>
      </c>
      <c r="F78" s="34"/>
      <c r="I78" s="1"/>
      <c r="J78" s="1"/>
      <c r="O78" s="66"/>
      <c r="P78" s="1"/>
      <c r="Q78" s="1"/>
      <c r="R78" s="36"/>
      <c r="S78" s="1"/>
    </row>
    <row r="79" spans="2:19" ht="14.25" customHeight="1" thickBot="1">
      <c r="B79" s="48" t="s">
        <v>55</v>
      </c>
      <c r="C79" s="49"/>
      <c r="D79" s="156">
        <v>0.03</v>
      </c>
      <c r="E79" s="47">
        <f>IF($E$25="","",($D$79*($E$25+$E$50+$E$59+$E$70+$E$75+$E$78+$E$82)/(1-SUM($D$79:$D$81))))</f>
        <v>245.00101094064064</v>
      </c>
      <c r="F79" s="34"/>
      <c r="H79" s="1"/>
      <c r="I79" s="1"/>
      <c r="J79" s="1"/>
      <c r="O79" s="66"/>
      <c r="P79" s="1"/>
      <c r="Q79" s="1"/>
      <c r="R79" s="1"/>
      <c r="S79" s="1"/>
    </row>
    <row r="80" spans="2:19" ht="14.25" customHeight="1" thickBot="1">
      <c r="B80" s="103" t="s">
        <v>56</v>
      </c>
      <c r="C80" s="104"/>
      <c r="D80" s="156">
        <v>6.4999999999999997E-3</v>
      </c>
      <c r="E80" s="47">
        <f>IF($E$25="","",($D$80*($E$25+$E$50+$E$59+$E$70+$E$75+$E$78+$E$82)/(1-SUM($D$79:$D$81))))</f>
        <v>53.083552370472134</v>
      </c>
      <c r="F80" s="34"/>
      <c r="H80" s="1"/>
      <c r="I80" s="1"/>
      <c r="J80" s="1"/>
      <c r="O80" s="66"/>
      <c r="P80" s="1"/>
      <c r="Q80" s="1"/>
      <c r="R80" s="36"/>
      <c r="S80" s="1"/>
    </row>
    <row r="81" spans="2:19" ht="14.25" customHeight="1" thickBot="1">
      <c r="B81" s="103" t="s">
        <v>57</v>
      </c>
      <c r="C81" s="104"/>
      <c r="D81" s="177">
        <v>0.05</v>
      </c>
      <c r="E81" s="47">
        <f>IF($E$25="","",($D$81*($E$25+$E$50+$E$59+$E$70+$E$75+$E$78+$E$82)/(1-SUM($D$79:$D$81))))</f>
        <v>408.3350182344011</v>
      </c>
      <c r="F81" s="34"/>
      <c r="H81" s="1"/>
      <c r="I81" s="1"/>
      <c r="J81" s="1"/>
      <c r="O81" s="66"/>
      <c r="P81" s="1"/>
      <c r="Q81" s="1"/>
      <c r="R81" s="36"/>
      <c r="S81" s="1"/>
    </row>
    <row r="82" spans="2:19" ht="14.25" customHeight="1" thickBot="1">
      <c r="B82" s="103" t="s">
        <v>58</v>
      </c>
      <c r="C82" s="104"/>
      <c r="D82" s="177">
        <v>0.01</v>
      </c>
      <c r="E82" s="47">
        <f>IF($E$25="","",($E$25+$E$50+$E$59+$E$70+$E$75+$E$78)*$D$82)</f>
        <v>73.86416616972781</v>
      </c>
      <c r="F82" s="34"/>
      <c r="H82" s="1"/>
      <c r="I82" s="1"/>
      <c r="J82" s="1"/>
      <c r="O82" s="66"/>
      <c r="P82" s="1"/>
      <c r="Q82" s="1"/>
      <c r="R82" s="36"/>
      <c r="S82" s="1"/>
    </row>
    <row r="83" spans="2:19" ht="14.25" customHeight="1" thickBot="1">
      <c r="B83" s="460" t="s">
        <v>59</v>
      </c>
      <c r="C83" s="461"/>
      <c r="D83" s="462"/>
      <c r="E83" s="50">
        <f>IF(E25="","",SUM($E$78:$E$82))</f>
        <v>853.77630896540427</v>
      </c>
      <c r="F83" s="31"/>
      <c r="H83" s="1"/>
      <c r="I83" s="1"/>
      <c r="J83" s="1"/>
      <c r="K83" s="75"/>
      <c r="L83" s="74"/>
      <c r="O83" s="66"/>
      <c r="P83" s="1"/>
      <c r="Q83" s="1"/>
      <c r="R83" s="36"/>
      <c r="S83" s="1"/>
    </row>
    <row r="84" spans="2:19" ht="14.25" customHeight="1" thickBot="1">
      <c r="H84" s="1"/>
      <c r="I84" s="1"/>
      <c r="K84" s="75"/>
      <c r="O84" s="66"/>
      <c r="P84" s="1"/>
      <c r="Q84" s="1"/>
      <c r="R84" s="1"/>
      <c r="S84" s="1"/>
    </row>
    <row r="85" spans="2:19" ht="14.25" customHeight="1" thickBot="1">
      <c r="B85" s="463" t="s">
        <v>60</v>
      </c>
      <c r="C85" s="464"/>
      <c r="D85" s="464"/>
      <c r="E85" s="51">
        <f>IF(E25="","",$E$25+$E$50+$E$59+$E$70+$E$75+$E$83)</f>
        <v>8166.7003646880221</v>
      </c>
      <c r="F85" s="31"/>
      <c r="H85" s="286"/>
      <c r="I85" s="306"/>
      <c r="J85" s="1"/>
      <c r="K85" s="73"/>
      <c r="O85" s="66"/>
      <c r="P85" s="1"/>
      <c r="Q85" s="1"/>
      <c r="R85" s="1"/>
      <c r="S85" s="1"/>
    </row>
    <row r="86" spans="2:19" ht="14.25" customHeight="1" thickBot="1">
      <c r="H86" s="1"/>
      <c r="I86" s="1"/>
      <c r="O86" s="67"/>
    </row>
    <row r="87" spans="2:19" ht="14.25" customHeight="1" thickBot="1">
      <c r="B87" s="452" t="s">
        <v>61</v>
      </c>
      <c r="C87" s="453"/>
      <c r="D87" s="453"/>
      <c r="E87" s="52">
        <f>IF(E25="","",E85*E12)</f>
        <v>147000.60656438439</v>
      </c>
      <c r="F87" s="31"/>
      <c r="O87" s="67"/>
    </row>
    <row r="88" spans="2:19" ht="14.25" customHeight="1">
      <c r="B88" s="107"/>
      <c r="C88" s="107"/>
      <c r="D88" s="53"/>
      <c r="E88" s="54"/>
      <c r="F88" s="55"/>
      <c r="G88" s="54"/>
      <c r="H88" s="54"/>
      <c r="O88" s="67"/>
    </row>
    <row r="89" spans="2:19" ht="14.25" customHeight="1">
      <c r="B89" s="3" t="s">
        <v>62</v>
      </c>
      <c r="D89" s="180">
        <f>IF(E25="","-",E85/E25)</f>
        <v>2.0798072895614617</v>
      </c>
      <c r="E89" s="3" t="str">
        <f>IF(E25="","a ser calculado",IF(D89&lt;=2.7,"OK","Superior a 2,7 --- Reavaliar planilha"))</f>
        <v>OK</v>
      </c>
      <c r="O89" s="67"/>
    </row>
    <row r="90" spans="2:19" ht="14.25" customHeight="1">
      <c r="B90" s="436" t="s">
        <v>181</v>
      </c>
      <c r="C90" s="436"/>
      <c r="D90" s="436"/>
      <c r="E90" s="436"/>
      <c r="O90" s="67"/>
    </row>
    <row r="91" spans="2:19" ht="14.25" customHeight="1">
      <c r="O91" s="67"/>
    </row>
    <row r="92" spans="2:19" ht="14.25" customHeight="1">
      <c r="O92" s="67"/>
    </row>
    <row r="93" spans="2:19" ht="14.25" customHeight="1">
      <c r="O93" s="67"/>
      <c r="P93" s="65"/>
    </row>
    <row r="94" spans="2:19" ht="14.25" customHeight="1">
      <c r="P94" s="65"/>
    </row>
    <row r="96" spans="2:19" ht="14.25" customHeight="1">
      <c r="L96" s="65"/>
    </row>
  </sheetData>
  <sheetProtection formatColumns="0" formatRows="0"/>
  <mergeCells count="52">
    <mergeCell ref="B25:D25"/>
    <mergeCell ref="B90:E90"/>
    <mergeCell ref="B77:E77"/>
    <mergeCell ref="B83:D83"/>
    <mergeCell ref="B85:D85"/>
    <mergeCell ref="B87:D87"/>
    <mergeCell ref="B44:D44"/>
    <mergeCell ref="B45:D45"/>
    <mergeCell ref="B49:D49"/>
    <mergeCell ref="B50:D50"/>
    <mergeCell ref="B52:E52"/>
    <mergeCell ref="H74:I74"/>
    <mergeCell ref="B75:D75"/>
    <mergeCell ref="I53:I54"/>
    <mergeCell ref="H55:H57"/>
    <mergeCell ref="I55:I57"/>
    <mergeCell ref="B59:D59"/>
    <mergeCell ref="B61:E61"/>
    <mergeCell ref="H66:H68"/>
    <mergeCell ref="I66:I68"/>
    <mergeCell ref="B68:D68"/>
    <mergeCell ref="H53:H54"/>
    <mergeCell ref="B69:D69"/>
    <mergeCell ref="B70:D70"/>
    <mergeCell ref="B72:E72"/>
    <mergeCell ref="B73:D73"/>
    <mergeCell ref="H41:H43"/>
    <mergeCell ref="I41:I43"/>
    <mergeCell ref="B42:C42"/>
    <mergeCell ref="B43:E43"/>
    <mergeCell ref="K26:L26"/>
    <mergeCell ref="B27:E27"/>
    <mergeCell ref="B28:E28"/>
    <mergeCell ref="B32:D32"/>
    <mergeCell ref="B33:E33"/>
    <mergeCell ref="B10:E10"/>
    <mergeCell ref="B11:C11"/>
    <mergeCell ref="B12:C12"/>
    <mergeCell ref="B14:E14"/>
    <mergeCell ref="C15:D15"/>
    <mergeCell ref="C16:D16"/>
    <mergeCell ref="C17:D17"/>
    <mergeCell ref="C18:D18"/>
    <mergeCell ref="B20:E20"/>
    <mergeCell ref="L23:M23"/>
    <mergeCell ref="B23:C23"/>
    <mergeCell ref="B8:D8"/>
    <mergeCell ref="B2:E2"/>
    <mergeCell ref="B4:E4"/>
    <mergeCell ref="B5:D5"/>
    <mergeCell ref="B6:D6"/>
    <mergeCell ref="B7:D7"/>
  </mergeCells>
  <dataValidations count="7">
    <dataValidation type="decimal" operator="lessThanOrEqual" allowBlank="1" showInputMessage="1" showErrorMessage="1" errorTitle="Valor inválido" error="Máximo aceito = 6%" sqref="D40">
      <formula1>0.06</formula1>
    </dataValidation>
    <dataValidation type="decimal" operator="lessThanOrEqual" allowBlank="1" showInputMessage="1" showErrorMessage="1" errorTitle="Valor inválido" error="Deve ser igual ou inferior a 2,00% (Ref.: IBGE)" sqref="I66">
      <formula1>0.02</formula1>
    </dataValidation>
    <dataValidation type="decimal" operator="lessThanOrEqual" allowBlank="1" showInputMessage="1" showErrorMessage="1" errorTitle="Valor inválido" error="Deve ser igual ou inferior a 8,00% (Ref.: IBGE)" sqref="I65">
      <formula1>0.08</formula1>
    </dataValidation>
    <dataValidation type="decimal" operator="lessThanOrEqual" allowBlank="1" showInputMessage="1" showErrorMessage="1" errorTitle="Valor inválido" error="Deve ser igual ou inferior a 1,50% (Ref.: IBGE)" sqref="I64">
      <formula1>0.015</formula1>
    </dataValidation>
    <dataValidation type="decimal" operator="lessThanOrEqual" allowBlank="1" showInputMessage="1" showErrorMessage="1" errorTitle="Valor inválido" error="Deve ser igual ou inferior a 5,55 (Ref.: TCU)" sqref="I53">
      <formula1>0.0555</formula1>
    </dataValidation>
    <dataValidation type="decimal" operator="lessThanOrEqual" allowBlank="1" showInputMessage="1" showErrorMessage="1" errorTitle="Valor inválido" error="Deve ser igual ou inferior a 5,96 (Ref.: IBGE)" sqref="I63">
      <formula1>5.96</formula1>
    </dataValidation>
    <dataValidation type="list" allowBlank="1" showInputMessage="1" showErrorMessage="1" sqref="H12">
      <formula1>$J$2:$J$3</formula1>
    </dataValidation>
  </dataValidations>
  <pageMargins left="0.25" right="0.25" top="0.75" bottom="0.75" header="0.3" footer="0.3"/>
  <pageSetup paperSize="9" scale="58" orientation="portrait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11</vt:i4>
      </vt:variant>
    </vt:vector>
  </HeadingPairs>
  <TitlesOfParts>
    <vt:vector size="27" baseType="lpstr">
      <vt:lpstr>Proposta Cadastro</vt:lpstr>
      <vt:lpstr>Resumo - Intra</vt:lpstr>
      <vt:lpstr>Resumo - MÉDIA</vt:lpstr>
      <vt:lpstr>ES Memória de Cálculo</vt:lpstr>
      <vt:lpstr>supervisor</vt:lpstr>
      <vt:lpstr> 44h de 2º a 6 feira</vt:lpstr>
      <vt:lpstr>Desarmada - Diurna 12 x36 hs</vt:lpstr>
      <vt:lpstr>Supervisor - Diurna 12 x36h</vt:lpstr>
      <vt:lpstr> Desarmada - Noturna 12 x36</vt:lpstr>
      <vt:lpstr> Supervisor - Noturna 12 x36h</vt:lpstr>
      <vt:lpstr>Intra - Armada-Diurna 12 x36</vt:lpstr>
      <vt:lpstr>Armada - Diurna 12 x36 hs</vt:lpstr>
      <vt:lpstr>Intra - Armada-Noturna 12x36</vt:lpstr>
      <vt:lpstr> Armada - Noturna 12 x36 hs</vt:lpstr>
      <vt:lpstr>Equipamentos</vt:lpstr>
      <vt:lpstr>Uniformes</vt:lpstr>
      <vt:lpstr>' 44h de 2º a 6 feira'!Area_de_impressao</vt:lpstr>
      <vt:lpstr>' Armada - Noturna 12 x36 hs'!Area_de_impressao</vt:lpstr>
      <vt:lpstr>' Desarmada - Noturna 12 x36'!Area_de_impressao</vt:lpstr>
      <vt:lpstr>' Supervisor - Noturna 12 x36h'!Area_de_impressao</vt:lpstr>
      <vt:lpstr>'Armada - Diurna 12 x36 hs'!Area_de_impressao</vt:lpstr>
      <vt:lpstr>'Desarmada - Diurna 12 x36 hs'!Area_de_impressao</vt:lpstr>
      <vt:lpstr>'Intra - Armada-Diurna 12 x36'!Area_de_impressao</vt:lpstr>
      <vt:lpstr>'Intra - Armada-Noturna 12x36'!Area_de_impressao</vt:lpstr>
      <vt:lpstr>'Proposta Cadastro'!Area_de_impressao</vt:lpstr>
      <vt:lpstr>supervisor!Area_de_impressao</vt:lpstr>
      <vt:lpstr>'Supervisor - Diurna 12 x36h'!Area_de_impressao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Koichi Freitas Nozaki - Oficial de Chancelaria</dc:creator>
  <cp:lastModifiedBy>Administrador</cp:lastModifiedBy>
  <cp:lastPrinted>2024-06-21T13:28:55Z</cp:lastPrinted>
  <dcterms:created xsi:type="dcterms:W3CDTF">2019-02-14T19:37:55Z</dcterms:created>
  <dcterms:modified xsi:type="dcterms:W3CDTF">2024-06-21T13:31:32Z</dcterms:modified>
</cp:coreProperties>
</file>